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Доходы 2012" sheetId="1" r:id="rId1"/>
    <sheet name="Расходы 2012" sheetId="2" r:id="rId2"/>
    <sheet name="Зар. плата 2012" sheetId="3" r:id="rId3"/>
    <sheet name="Стипендия 2012" sheetId="4" r:id="rId4"/>
    <sheet name="СП &quot;Иртышский&quot;" sheetId="5" r:id="rId5"/>
    <sheet name="Общежития" sheetId="6" r:id="rId6"/>
    <sheet name="Столовая" sheetId="7" r:id="rId7"/>
    <sheet name="Налоги" sheetId="8" r:id="rId8"/>
    <sheet name="Долги студентов" sheetId="9" r:id="rId9"/>
  </sheets>
  <definedNames/>
  <calcPr fullCalcOnLoad="1"/>
</workbook>
</file>

<file path=xl/sharedStrings.xml><?xml version="1.0" encoding="utf-8"?>
<sst xmlns="http://schemas.openxmlformats.org/spreadsheetml/2006/main" count="400" uniqueCount="244">
  <si>
    <t xml:space="preserve">Стипендия студентов ФГБОУ ВПО "ОмГПУ" </t>
  </si>
  <si>
    <t>Наименование стипендии</t>
  </si>
  <si>
    <t>2010 год</t>
  </si>
  <si>
    <t>2011 год</t>
  </si>
  <si>
    <t>Среднемесячное количество выплат</t>
  </si>
  <si>
    <t>Сумма, начисленной стипендии (тыс. руб.)</t>
  </si>
  <si>
    <t>Структура (%)</t>
  </si>
  <si>
    <t>Стипендия Президента РФ</t>
  </si>
  <si>
    <t>Стипендия Правительства РФ</t>
  </si>
  <si>
    <t>Академическая стипендия</t>
  </si>
  <si>
    <t>Социальная стипендия</t>
  </si>
  <si>
    <t>Социальная поддержка студентов и аспирантов</t>
  </si>
  <si>
    <t>Стипендия аспирантов</t>
  </si>
  <si>
    <t>Стипендия докторантов</t>
  </si>
  <si>
    <t>Выплаты студентам, находящимся в академических отпусках по медицинским показаниям, пособия по беременности и родам, компенсация на книгоиздательскую продукцию и канцелярские товары</t>
  </si>
  <si>
    <t>Компенсационные выплаты студентам-сиротам на питание, проезд, приобретение одежды и мягкого инвентаря (КОСГУ 262)</t>
  </si>
  <si>
    <t>Увеличение академической стипендии за достижения в учебной деятельности</t>
  </si>
  <si>
    <t>Увеличение академической стипендии за достижения в научно-исследовательской деятельности</t>
  </si>
  <si>
    <t>Увеличение академической стипендии за достижения в общественной деятельности</t>
  </si>
  <si>
    <t>Увеличение академической стипендии за достижения в культурно-творческой  деятельности</t>
  </si>
  <si>
    <t>Увеличение академической стипендии за достижения в спортивной деятельности</t>
  </si>
  <si>
    <t>ИТОГО</t>
  </si>
  <si>
    <t>Отклонение</t>
  </si>
  <si>
    <t>Повышенные стипендии</t>
  </si>
  <si>
    <t>2009год</t>
  </si>
  <si>
    <t>Виды выплат</t>
  </si>
  <si>
    <t>Структура расходов в %</t>
  </si>
  <si>
    <t>По окладам (ставкам) заработной платы</t>
  </si>
  <si>
    <t>Стимулирующие выплаты</t>
  </si>
  <si>
    <t>Компенсационные выплаты</t>
  </si>
  <si>
    <t>Почасовая оплата</t>
  </si>
  <si>
    <t>Выплаты, связанные с увольнением (выходное пособие, компенсации при увольнении и др.)</t>
  </si>
  <si>
    <t>Оплата отпуска, компенсации за отпуск.</t>
  </si>
  <si>
    <t>Премиальные выплаты</t>
  </si>
  <si>
    <t>Оплата б/л за счет работодателя и производственной травме, пособий по уходу за ребенком до 3-х лет</t>
  </si>
  <si>
    <t>Компенсация на книгоиздательскую продукцию (КИП)</t>
  </si>
  <si>
    <t>Материальная помощь ( включая расходы по гашению займов на приобретение жилья)</t>
  </si>
  <si>
    <t>Прочие выплаты (авторское возн.,  подарки)</t>
  </si>
  <si>
    <t>Таблица № 1</t>
  </si>
  <si>
    <t xml:space="preserve"> (тыс. руб.)</t>
  </si>
  <si>
    <t>№п/п</t>
  </si>
  <si>
    <t>Источники поступления средств</t>
  </si>
  <si>
    <t>1.</t>
  </si>
  <si>
    <t>Фундаментальные исследования</t>
  </si>
  <si>
    <t>2.</t>
  </si>
  <si>
    <t>Уплата налога на имущество организаций и земельного налога</t>
  </si>
  <si>
    <t>3.</t>
  </si>
  <si>
    <t>4.</t>
  </si>
  <si>
    <t>5.</t>
  </si>
  <si>
    <t>Образовательная деятельность</t>
  </si>
  <si>
    <t>6.</t>
  </si>
  <si>
    <t>Научно-исследовательская деятельность</t>
  </si>
  <si>
    <t>7.</t>
  </si>
  <si>
    <t>Издательская деятельность (без учета доходов от выполнения заказов для внутренних нужд ОмГПУ)</t>
  </si>
  <si>
    <t>8.</t>
  </si>
  <si>
    <t>Предоставление общежития</t>
  </si>
  <si>
    <t>9.</t>
  </si>
  <si>
    <t>Столовая</t>
  </si>
  <si>
    <t>Другие виды ПДД</t>
  </si>
  <si>
    <t>11.</t>
  </si>
  <si>
    <t>Внереализационные доходы</t>
  </si>
  <si>
    <t>12.</t>
  </si>
  <si>
    <t>Целевые поступления</t>
  </si>
  <si>
    <t xml:space="preserve">Доходы от приносящей доход деятельности </t>
  </si>
  <si>
    <t>Таблица №2</t>
  </si>
  <si>
    <t>тыс. руб.</t>
  </si>
  <si>
    <t>Направление расходов</t>
  </si>
  <si>
    <t>бюджет</t>
  </si>
  <si>
    <t>Структура  (в %)</t>
  </si>
  <si>
    <t>ПДД</t>
  </si>
  <si>
    <t>Заработная плата (без учета договоров ГПХ)</t>
  </si>
  <si>
    <t>Прочие выплаты</t>
  </si>
  <si>
    <t>Услуги связи</t>
  </si>
  <si>
    <t>Транспортные услуги</t>
  </si>
  <si>
    <t>Коммунальные услуги</t>
  </si>
  <si>
    <t>Пособия по социальной помощи населению</t>
  </si>
  <si>
    <t>13.</t>
  </si>
  <si>
    <t>Приобретение материальных запасов</t>
  </si>
  <si>
    <t>14.</t>
  </si>
  <si>
    <t xml:space="preserve"> Прочие расходы</t>
  </si>
  <si>
    <t>Итого</t>
  </si>
  <si>
    <t>Доходы :</t>
  </si>
  <si>
    <t>тыс.руб.</t>
  </si>
  <si>
    <t>НДС</t>
  </si>
  <si>
    <t>Доходы без НДС</t>
  </si>
  <si>
    <t>Расходы:</t>
  </si>
  <si>
    <t>ЗП с начислениями</t>
  </si>
  <si>
    <t>продукты питания</t>
  </si>
  <si>
    <t>медикаменты</t>
  </si>
  <si>
    <t>-</t>
  </si>
  <si>
    <t>ГСМ</t>
  </si>
  <si>
    <t>Строительные материалы</t>
  </si>
  <si>
    <t>Списание мягкого инвентаря</t>
  </si>
  <si>
    <t>Канцелярские принадлежности,  расходные материалы</t>
  </si>
  <si>
    <t>Приобретение оборудования, амортизация</t>
  </si>
  <si>
    <t>Коммунальные платежи</t>
  </si>
  <si>
    <t>Аренда имущества</t>
  </si>
  <si>
    <t>Содержание имущества</t>
  </si>
  <si>
    <t>Прочие работы и услуги</t>
  </si>
  <si>
    <t>Итого расходов</t>
  </si>
  <si>
    <t>Фин.результат</t>
  </si>
  <si>
    <t>Статистические данные:</t>
  </si>
  <si>
    <t>количество путевок всего в т.ч.:</t>
  </si>
  <si>
    <t>студенты</t>
  </si>
  <si>
    <t>преподаватели</t>
  </si>
  <si>
    <t>сторонние</t>
  </si>
  <si>
    <t>Количество койко-дней</t>
  </si>
  <si>
    <t>Пояснительная записка к фактическим расходам по СП "Иртышский"</t>
  </si>
  <si>
    <t>Средняя загруженность в %</t>
  </si>
  <si>
    <t>%</t>
  </si>
  <si>
    <t xml:space="preserve">Штатная численность </t>
  </si>
  <si>
    <t>чел.</t>
  </si>
  <si>
    <t>руб.</t>
  </si>
  <si>
    <t>Средства, полученные от ПДД на 1 койко-место</t>
  </si>
  <si>
    <t>Расходы, связанные с эксплуатацией основных средств</t>
  </si>
  <si>
    <t>количество, проживающих в общежитиях, в том числе</t>
  </si>
  <si>
    <t>За счет университета</t>
  </si>
  <si>
    <t>Среднесписочная численность</t>
  </si>
  <si>
    <t>Число посадочных мест</t>
  </si>
  <si>
    <t>Среднемесячная заработная плата</t>
  </si>
  <si>
    <t>2011год</t>
  </si>
  <si>
    <t>Канцелярские принадлежности,  расходные материалы, прочие материалы</t>
  </si>
  <si>
    <t>НАЛОГИ</t>
  </si>
  <si>
    <t>№ п/п</t>
  </si>
  <si>
    <t>Наименование налога</t>
  </si>
  <si>
    <t>удельный вес (%)</t>
  </si>
  <si>
    <t>Налог на прибыль</t>
  </si>
  <si>
    <t>Налог на имущество</t>
  </si>
  <si>
    <t>Земельный налог</t>
  </si>
  <si>
    <t>Транспортный налог</t>
  </si>
  <si>
    <t>Плата за загрязнение окружающей среды</t>
  </si>
  <si>
    <t>НДФЛ</t>
  </si>
  <si>
    <t>Пени на налог на имущество и землю</t>
  </si>
  <si>
    <t>Налоги из бюджетных средств</t>
  </si>
  <si>
    <t>Налоги из средств, поступивших от приносящей доход деятельности</t>
  </si>
  <si>
    <t>Таблица №4</t>
  </si>
  <si>
    <t>Страховые взносы и отчисл. в ФСС</t>
  </si>
  <si>
    <t>Наименование налога (платежа)</t>
  </si>
  <si>
    <t>Таблица № 8</t>
  </si>
  <si>
    <t>2011</t>
  </si>
  <si>
    <t xml:space="preserve">в том числе студенты </t>
  </si>
  <si>
    <t>прочие категории проживающих</t>
  </si>
  <si>
    <t>Итого за 2011 год</t>
  </si>
  <si>
    <t>Таблица №3</t>
  </si>
  <si>
    <t>Таблица №5</t>
  </si>
  <si>
    <t>Таблица №6</t>
  </si>
  <si>
    <t>Таблица №7</t>
  </si>
  <si>
    <t>студенты, магистранты и аспиранты</t>
  </si>
  <si>
    <t>сотрудники ( и члены их семей)</t>
  </si>
  <si>
    <t>сторонние (и члены их семей)</t>
  </si>
  <si>
    <t>Задолженность проживающих в общежитии на 01.01.2012г.:</t>
  </si>
  <si>
    <t>Среднемесячные расходы на 1 проживающего</t>
  </si>
  <si>
    <t>руб./мес.</t>
  </si>
  <si>
    <t>Примерное число дней работы санатория</t>
  </si>
  <si>
    <t>увел.(+), сниж.(-) (тыс. руб.)</t>
  </si>
  <si>
    <t>За счет всех источников (тыс. руб.)</t>
  </si>
  <si>
    <t xml:space="preserve"> За выполнение фундаментальных научных исследований</t>
  </si>
  <si>
    <t>Сохранение среднего заработка (командировки, гос. обязанности, донорство и другие выплаты, определенные законодательством)</t>
  </si>
  <si>
    <t>Расходы за счет прибыли</t>
  </si>
  <si>
    <t>в том числе штрафные санкции за нарушение правил  ПБ</t>
  </si>
  <si>
    <t>Заработная плата с начислениями</t>
  </si>
  <si>
    <t xml:space="preserve">Наименование факультета, (структурного подразделения) </t>
  </si>
  <si>
    <t>2005-2006 уч.год</t>
  </si>
  <si>
    <t>2006-2007 уч.год</t>
  </si>
  <si>
    <t>2007-2008 уч.год</t>
  </si>
  <si>
    <t>2008-2009 уч.год</t>
  </si>
  <si>
    <t>2009-2010 уч.год</t>
  </si>
  <si>
    <t>1 семестр 2011-2012 у/г</t>
  </si>
  <si>
    <t>Факультет иностранных языков</t>
  </si>
  <si>
    <t>Факультет искусств</t>
  </si>
  <si>
    <t>Филиологический факультет</t>
  </si>
  <si>
    <t>Факультет экономики и менеджмента</t>
  </si>
  <si>
    <t>ФДП и ДО</t>
  </si>
  <si>
    <t>Высшая бизнес-школа</t>
  </si>
  <si>
    <t>Академический лицей</t>
  </si>
  <si>
    <t>Университетский колледж</t>
  </si>
  <si>
    <t>Центр образовательных инициатив</t>
  </si>
  <si>
    <t>Факультет психологии и педагогики</t>
  </si>
  <si>
    <t>Центр магистерской подготовки</t>
  </si>
  <si>
    <t>ИНПО</t>
  </si>
  <si>
    <t>Нововаршавский филиал</t>
  </si>
  <si>
    <t>Структура в %</t>
  </si>
  <si>
    <t>Средства, бюджета на 1 койко-место</t>
  </si>
  <si>
    <t>2012 год</t>
  </si>
  <si>
    <t>2012год</t>
  </si>
  <si>
    <t>Отклонение (2012-2011)</t>
  </si>
  <si>
    <t>Структура фин-я и доходов 2012г.</t>
  </si>
  <si>
    <t>Начальник управления финансов и контроля</t>
  </si>
  <si>
    <t>М.В. Силантьева</t>
  </si>
  <si>
    <t>Итого за 2012 год</t>
  </si>
  <si>
    <t>Заработная плата сотрудников университета за 2010-2012 год</t>
  </si>
  <si>
    <t>Отклонение (2012-2011) (тыс. руб.)</t>
  </si>
  <si>
    <t xml:space="preserve">Доходы и расходы по СП "Иртышский" за 2012 год </t>
  </si>
  <si>
    <t xml:space="preserve">Доходы и расходы по содержанию общежитий университета за 2012 год </t>
  </si>
  <si>
    <t xml:space="preserve">Доходы и расходы по содержанию столовой университета за 2012 год </t>
  </si>
  <si>
    <t>2012</t>
  </si>
  <si>
    <t>Бюджет</t>
  </si>
  <si>
    <t>153 (мест) * 305 = 46665 койко/дней</t>
  </si>
  <si>
    <t>в т.ч. :арендная деятельность</t>
  </si>
  <si>
    <t xml:space="preserve">Средняя заработная плата  (6769050 руб) </t>
  </si>
  <si>
    <t>Средняя стоимость 1 койко/дня (21560100/23428)</t>
  </si>
  <si>
    <t>Всего выплат</t>
  </si>
  <si>
    <t>Итого повышенные типендии</t>
  </si>
  <si>
    <t xml:space="preserve">Начальник управления финансов и контроля </t>
  </si>
  <si>
    <t>2013год / план</t>
  </si>
  <si>
    <t>2013 год / план</t>
  </si>
  <si>
    <t>Задолженность студентов, слушателей, обучающихся на платной основе по состоянию на 26 декабря 2012 года</t>
  </si>
  <si>
    <t>Факультет естественнаучного обр.</t>
  </si>
  <si>
    <t>Факультет математики, информатики, физики и технологии</t>
  </si>
  <si>
    <t>Факультет начального,дошкольного и специального образования</t>
  </si>
  <si>
    <t>Факультет истории, филасофии и права</t>
  </si>
  <si>
    <t>2 семестр 2011-2012 у/г</t>
  </si>
  <si>
    <t>2013год / в соотв.с Минобр</t>
  </si>
  <si>
    <t>Обеспечение деятельности ВУЗа / Субсидии на фин.обеспечение выполнения гос.задания</t>
  </si>
  <si>
    <t>Субсидии на иные цели (стипендия, компенсация пед.работникам на КИП)</t>
  </si>
  <si>
    <t>СП "Иртышский"</t>
  </si>
  <si>
    <t>Структура, %</t>
  </si>
  <si>
    <t>бюджет,  тыс. руб.</t>
  </si>
  <si>
    <t>ПДД,   тыс. руб.</t>
  </si>
  <si>
    <t xml:space="preserve">Поступление денежного обеспечения ФГБОУ ВПО "ОмГПУ" </t>
  </si>
  <si>
    <t>Остаток на начало года за счет средств ППД</t>
  </si>
  <si>
    <t>Субсидии на обеспечение ГЗ</t>
  </si>
  <si>
    <t>Поступление всего</t>
  </si>
  <si>
    <t>Стипендия студентам, аспирантам</t>
  </si>
  <si>
    <t>Компенсация на КИП преподавателям</t>
  </si>
  <si>
    <t>Компенсация на КИП аспирантам</t>
  </si>
  <si>
    <t>в т.ч. Филиал в г. Тара</t>
  </si>
  <si>
    <t>Начисл.на выплаты  по оплате труда</t>
  </si>
  <si>
    <t xml:space="preserve">Арендная плата </t>
  </si>
  <si>
    <t>Работы, услуги по содерж.имущества</t>
  </si>
  <si>
    <t>Остаток на конец года всего:</t>
  </si>
  <si>
    <t xml:space="preserve">           приносящая доход деятельность</t>
  </si>
  <si>
    <t xml:space="preserve">          субсидии на иные цели</t>
  </si>
  <si>
    <t>в т.ч. субсидии на обеспечение ГЗ</t>
  </si>
  <si>
    <t xml:space="preserve">Расходы ФГБОУ ВПО "ОмГПУ"  в 2011 - 2012 годах </t>
  </si>
  <si>
    <t>в т.ч. филиал в г. Тара</t>
  </si>
  <si>
    <t xml:space="preserve">Заработная плата филиал в г.Тара </t>
  </si>
  <si>
    <t>2010-2011  уч.год</t>
  </si>
  <si>
    <t>1 семестр 2012-2013 у/г</t>
  </si>
  <si>
    <t>Приобретение основных средств и нематериальных активов</t>
  </si>
  <si>
    <t>*</t>
  </si>
  <si>
    <t>Пособия по социальной помощи детям сиротам и детям ост.без попечения родителей в денежной форме на питание, проезд, приобретение одежды.</t>
  </si>
  <si>
    <t>Публичные обязательства*</t>
  </si>
  <si>
    <t xml:space="preserve">Прочие работы, услуги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</si>
</sst>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_ ;\-#,##0.0\ "/>
    <numFmt numFmtId="167" formatCode="#,##0.00_ ;\-#,##0.00\ "/>
    <numFmt numFmtId="168" formatCode="_-* #,##0.0_р_._-;\-* #,##0.0_р_._-;_-* &quot;-&quot;?_р_._-;_-@_-"/>
    <numFmt numFmtId="169" formatCode="#,##0_ ;\-#,##0\ "/>
    <numFmt numFmtId="170" formatCode="_-* #,##0_р_._-;\-* #,##0_р_._-;_-* &quot;-&quot;?_р_._-;_-@_-"/>
    <numFmt numFmtId="171" formatCode="_-* #,##0.00_р_._-;\-* #,##0.00_р_._-;_-* &quot;-&quot;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%"/>
    <numFmt numFmtId="178" formatCode="#,##0.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10" xfId="0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10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left" wrapText="1"/>
    </xf>
    <xf numFmtId="0" fontId="10" fillId="0" borderId="12" xfId="0" applyFont="1" applyBorder="1" applyAlignment="1">
      <alignment wrapText="1"/>
    </xf>
    <xf numFmtId="49" fontId="5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10" fillId="0" borderId="14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44" fontId="0" fillId="0" borderId="0" xfId="42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64" fontId="2" fillId="0" borderId="2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10" fontId="14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9" fontId="13" fillId="0" borderId="10" xfId="0" applyNumberFormat="1" applyFont="1" applyBorder="1" applyAlignment="1">
      <alignment horizontal="center"/>
    </xf>
    <xf numFmtId="10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10" fontId="0" fillId="0" borderId="11" xfId="0" applyNumberFormat="1" applyFont="1" applyBorder="1" applyAlignment="1">
      <alignment/>
    </xf>
    <xf numFmtId="0" fontId="4" fillId="0" borderId="25" xfId="0" applyFont="1" applyBorder="1" applyAlignment="1">
      <alignment wrapText="1"/>
    </xf>
    <xf numFmtId="0" fontId="2" fillId="0" borderId="25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164" fontId="2" fillId="0" borderId="12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168" fontId="15" fillId="0" borderId="10" xfId="0" applyNumberFormat="1" applyFont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168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4" fillId="0" borderId="0" xfId="0" applyFont="1" applyAlignment="1">
      <alignment/>
    </xf>
    <xf numFmtId="168" fontId="15" fillId="33" borderId="10" xfId="0" applyNumberFormat="1" applyFont="1" applyFill="1" applyBorder="1" applyAlignment="1">
      <alignment horizontal="center" vertical="center"/>
    </xf>
    <xf numFmtId="168" fontId="15" fillId="0" borderId="10" xfId="0" applyNumberFormat="1" applyFont="1" applyFill="1" applyBorder="1" applyAlignment="1">
      <alignment horizontal="center" vertical="center"/>
    </xf>
    <xf numFmtId="168" fontId="2" fillId="0" borderId="25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168" fontId="15" fillId="0" borderId="19" xfId="0" applyNumberFormat="1" applyFont="1" applyBorder="1" applyAlignment="1">
      <alignment horizontal="center" vertical="center"/>
    </xf>
    <xf numFmtId="168" fontId="13" fillId="0" borderId="19" xfId="0" applyNumberFormat="1" applyFont="1" applyBorder="1" applyAlignment="1">
      <alignment horizontal="center" vertical="center"/>
    </xf>
    <xf numFmtId="168" fontId="13" fillId="0" borderId="19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/>
    </xf>
    <xf numFmtId="168" fontId="14" fillId="0" borderId="31" xfId="0" applyNumberFormat="1" applyFont="1" applyBorder="1" applyAlignment="1">
      <alignment horizontal="center" vertical="center"/>
    </xf>
    <xf numFmtId="168" fontId="16" fillId="0" borderId="31" xfId="0" applyNumberFormat="1" applyFont="1" applyFill="1" applyBorder="1" applyAlignment="1">
      <alignment horizontal="center" vertical="center"/>
    </xf>
    <xf numFmtId="168" fontId="14" fillId="0" borderId="3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4" fillId="0" borderId="32" xfId="0" applyFont="1" applyBorder="1" applyAlignment="1">
      <alignment wrapText="1"/>
    </xf>
    <xf numFmtId="168" fontId="14" fillId="0" borderId="32" xfId="0" applyNumberFormat="1" applyFont="1" applyBorder="1" applyAlignment="1">
      <alignment horizontal="center" vertical="center"/>
    </xf>
    <xf numFmtId="168" fontId="14" fillId="0" borderId="32" xfId="0" applyNumberFormat="1" applyFont="1" applyFill="1" applyBorder="1" applyAlignment="1">
      <alignment horizontal="center" vertical="center"/>
    </xf>
    <xf numFmtId="165" fontId="14" fillId="0" borderId="24" xfId="0" applyNumberFormat="1" applyFont="1" applyBorder="1" applyAlignment="1">
      <alignment horizontal="center" vertical="center"/>
    </xf>
    <xf numFmtId="168" fontId="16" fillId="0" borderId="25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168" fontId="16" fillId="0" borderId="31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168" fontId="2" fillId="0" borderId="19" xfId="0" applyNumberFormat="1" applyFont="1" applyBorder="1" applyAlignment="1">
      <alignment horizontal="center" vertical="center"/>
    </xf>
    <xf numFmtId="168" fontId="2" fillId="0" borderId="19" xfId="0" applyNumberFormat="1" applyFont="1" applyFill="1" applyBorder="1" applyAlignment="1" applyProtection="1">
      <alignment horizontal="center" vertical="center"/>
      <protection locked="0"/>
    </xf>
    <xf numFmtId="168" fontId="15" fillId="0" borderId="31" xfId="0" applyNumberFormat="1" applyFont="1" applyBorder="1" applyAlignment="1">
      <alignment horizontal="center" vertical="center"/>
    </xf>
    <xf numFmtId="168" fontId="13" fillId="0" borderId="31" xfId="0" applyNumberFormat="1" applyFont="1" applyFill="1" applyBorder="1" applyAlignment="1">
      <alignment horizontal="center" vertical="center"/>
    </xf>
    <xf numFmtId="0" fontId="14" fillId="0" borderId="32" xfId="0" applyFont="1" applyBorder="1" applyAlignment="1">
      <alignment/>
    </xf>
    <xf numFmtId="168" fontId="15" fillId="0" borderId="33" xfId="0" applyNumberFormat="1" applyFont="1" applyBorder="1" applyAlignment="1">
      <alignment horizontal="center" vertical="center"/>
    </xf>
    <xf numFmtId="168" fontId="13" fillId="0" borderId="33" xfId="0" applyNumberFormat="1" applyFont="1" applyBorder="1" applyAlignment="1">
      <alignment horizontal="center" vertical="center"/>
    </xf>
    <xf numFmtId="168" fontId="15" fillId="0" borderId="33" xfId="0" applyNumberFormat="1" applyFont="1" applyFill="1" applyBorder="1" applyAlignment="1">
      <alignment horizontal="center" vertical="center"/>
    </xf>
    <xf numFmtId="168" fontId="13" fillId="0" borderId="33" xfId="0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/>
    </xf>
    <xf numFmtId="0" fontId="13" fillId="0" borderId="33" xfId="0" applyFont="1" applyBorder="1" applyAlignment="1">
      <alignment/>
    </xf>
    <xf numFmtId="10" fontId="0" fillId="0" borderId="0" xfId="0" applyNumberFormat="1" applyAlignment="1">
      <alignment/>
    </xf>
    <xf numFmtId="0" fontId="0" fillId="0" borderId="34" xfId="0" applyFont="1" applyBorder="1" applyAlignment="1">
      <alignment/>
    </xf>
    <xf numFmtId="0" fontId="5" fillId="0" borderId="11" xfId="0" applyFont="1" applyBorder="1" applyAlignment="1">
      <alignment/>
    </xf>
    <xf numFmtId="164" fontId="4" fillId="0" borderId="28" xfId="0" applyNumberFormat="1" applyFont="1" applyBorder="1" applyAlignment="1">
      <alignment/>
    </xf>
    <xf numFmtId="10" fontId="0" fillId="0" borderId="33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0" fontId="0" fillId="0" borderId="25" xfId="0" applyBorder="1" applyAlignment="1">
      <alignment/>
    </xf>
    <xf numFmtId="168" fontId="12" fillId="0" borderId="25" xfId="0" applyNumberFormat="1" applyFont="1" applyBorder="1" applyAlignment="1">
      <alignment horizontal="center" vertical="center"/>
    </xf>
    <xf numFmtId="168" fontId="12" fillId="0" borderId="25" xfId="0" applyNumberFormat="1" applyFont="1" applyFill="1" applyBorder="1" applyAlignment="1">
      <alignment horizontal="center" vertical="center"/>
    </xf>
    <xf numFmtId="10" fontId="2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20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165" fontId="2" fillId="0" borderId="3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5" fontId="13" fillId="0" borderId="1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65" fontId="13" fillId="0" borderId="2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5" fontId="13" fillId="0" borderId="30" xfId="0" applyNumberFormat="1" applyFont="1" applyBorder="1" applyAlignment="1">
      <alignment horizontal="center" vertical="center"/>
    </xf>
    <xf numFmtId="165" fontId="14" fillId="0" borderId="17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5" fontId="13" fillId="0" borderId="29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10" fontId="14" fillId="0" borderId="17" xfId="0" applyNumberFormat="1" applyFont="1" applyBorder="1" applyAlignment="1">
      <alignment horizontal="center" vertical="center"/>
    </xf>
    <xf numFmtId="10" fontId="13" fillId="0" borderId="20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/>
    </xf>
    <xf numFmtId="3" fontId="13" fillId="0" borderId="33" xfId="0" applyNumberFormat="1" applyFont="1" applyBorder="1" applyAlignment="1">
      <alignment horizontal="center" vertical="center"/>
    </xf>
    <xf numFmtId="178" fontId="15" fillId="0" borderId="33" xfId="0" applyNumberFormat="1" applyFont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10" fontId="13" fillId="0" borderId="29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/>
    </xf>
    <xf numFmtId="0" fontId="2" fillId="0" borderId="37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164" fontId="14" fillId="0" borderId="12" xfId="0" applyNumberFormat="1" applyFont="1" applyBorder="1" applyAlignment="1">
      <alignment/>
    </xf>
    <xf numFmtId="10" fontId="14" fillId="0" borderId="20" xfId="0" applyNumberFormat="1" applyFont="1" applyBorder="1" applyAlignment="1">
      <alignment/>
    </xf>
    <xf numFmtId="10" fontId="2" fillId="0" borderId="30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0" fontId="2" fillId="0" borderId="2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164" fontId="14" fillId="0" borderId="20" xfId="0" applyNumberFormat="1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wrapText="1"/>
    </xf>
    <xf numFmtId="0" fontId="16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12" xfId="0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0" fontId="0" fillId="0" borderId="42" xfId="0" applyNumberFormat="1" applyBorder="1" applyAlignment="1">
      <alignment horizontal="center" vertical="center"/>
    </xf>
    <xf numFmtId="10" fontId="0" fillId="0" borderId="42" xfId="0" applyNumberFormat="1" applyFont="1" applyBorder="1" applyAlignment="1">
      <alignment horizontal="center" vertical="center"/>
    </xf>
    <xf numFmtId="10" fontId="0" fillId="0" borderId="43" xfId="0" applyNumberForma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4" xfId="0" applyBorder="1" applyAlignment="1">
      <alignment wrapText="1"/>
    </xf>
    <xf numFmtId="0" fontId="0" fillId="0" borderId="39" xfId="0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6" fillId="0" borderId="50" xfId="0" applyFon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0" fontId="17" fillId="0" borderId="10" xfId="0" applyFont="1" applyBorder="1" applyAlignment="1">
      <alignment horizontal="right" wrapText="1"/>
    </xf>
    <xf numFmtId="0" fontId="4" fillId="0" borderId="20" xfId="0" applyFont="1" applyBorder="1" applyAlignment="1">
      <alignment horizontal="right"/>
    </xf>
    <xf numFmtId="0" fontId="17" fillId="0" borderId="11" xfId="0" applyFont="1" applyBorder="1" applyAlignment="1">
      <alignment horizontal="right" wrapText="1"/>
    </xf>
    <xf numFmtId="3" fontId="4" fillId="0" borderId="35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4" fontId="4" fillId="0" borderId="10" xfId="42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52" xfId="0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4" xfId="0" applyFont="1" applyBorder="1" applyAlignment="1">
      <alignment wrapText="1"/>
    </xf>
    <xf numFmtId="0" fontId="4" fillId="0" borderId="55" xfId="0" applyFont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0" fillId="0" borderId="54" xfId="0" applyFont="1" applyBorder="1" applyAlignment="1">
      <alignment horizontal="left" wrapText="1"/>
    </xf>
    <xf numFmtId="49" fontId="10" fillId="0" borderId="54" xfId="0" applyNumberFormat="1" applyFont="1" applyBorder="1" applyAlignment="1">
      <alignment horizontal="left" wrapText="1"/>
    </xf>
    <xf numFmtId="0" fontId="10" fillId="0" borderId="54" xfId="0" applyFont="1" applyBorder="1" applyAlignment="1">
      <alignment wrapText="1"/>
    </xf>
    <xf numFmtId="0" fontId="0" fillId="0" borderId="56" xfId="0" applyBorder="1" applyAlignment="1">
      <alignment/>
    </xf>
    <xf numFmtId="0" fontId="17" fillId="0" borderId="25" xfId="0" applyFont="1" applyBorder="1" applyAlignment="1">
      <alignment horizontal="right" wrapText="1"/>
    </xf>
    <xf numFmtId="0" fontId="0" fillId="0" borderId="57" xfId="0" applyBorder="1" applyAlignment="1">
      <alignment/>
    </xf>
    <xf numFmtId="0" fontId="2" fillId="0" borderId="58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6" fillId="0" borderId="61" xfId="0" applyFont="1" applyBorder="1" applyAlignment="1">
      <alignment/>
    </xf>
    <xf numFmtId="4" fontId="6" fillId="0" borderId="48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0" fontId="17" fillId="0" borderId="12" xfId="0" applyFont="1" applyBorder="1" applyAlignment="1">
      <alignment horizontal="right" wrapText="1"/>
    </xf>
    <xf numFmtId="3" fontId="4" fillId="0" borderId="28" xfId="0" applyNumberFormat="1" applyFon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62" xfId="0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63" xfId="0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0" fillId="0" borderId="63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6" fontId="4" fillId="0" borderId="20" xfId="42" applyNumberFormat="1" applyFont="1" applyBorder="1" applyAlignment="1">
      <alignment horizontal="center"/>
    </xf>
    <xf numFmtId="167" fontId="4" fillId="0" borderId="20" xfId="42" applyNumberFormat="1" applyFont="1" applyBorder="1" applyAlignment="1">
      <alignment horizontal="center"/>
    </xf>
    <xf numFmtId="44" fontId="4" fillId="0" borderId="33" xfId="42" applyFont="1" applyBorder="1" applyAlignment="1">
      <alignment horizontal="center"/>
    </xf>
    <xf numFmtId="167" fontId="4" fillId="0" borderId="29" xfId="42" applyNumberFormat="1" applyFont="1" applyBorder="1" applyAlignment="1">
      <alignment horizontal="center"/>
    </xf>
    <xf numFmtId="44" fontId="4" fillId="0" borderId="0" xfId="42" applyFont="1" applyFill="1" applyBorder="1" applyAlignment="1">
      <alignment/>
    </xf>
    <xf numFmtId="0" fontId="4" fillId="0" borderId="11" xfId="0" applyFont="1" applyBorder="1" applyAlignment="1">
      <alignment/>
    </xf>
    <xf numFmtId="0" fontId="7" fillId="0" borderId="50" xfId="0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wrapText="1"/>
    </xf>
    <xf numFmtId="0" fontId="17" fillId="0" borderId="42" xfId="0" applyFont="1" applyBorder="1" applyAlignment="1">
      <alignment horizontal="right" wrapText="1"/>
    </xf>
    <xf numFmtId="49" fontId="17" fillId="0" borderId="12" xfId="0" applyNumberFormat="1" applyFont="1" applyBorder="1" applyAlignment="1">
      <alignment horizontal="right" wrapText="1"/>
    </xf>
    <xf numFmtId="49" fontId="17" fillId="0" borderId="25" xfId="0" applyNumberFormat="1" applyFont="1" applyBorder="1" applyAlignment="1">
      <alignment horizontal="right" wrapText="1"/>
    </xf>
    <xf numFmtId="49" fontId="17" fillId="0" borderId="42" xfId="0" applyNumberFormat="1" applyFont="1" applyBorder="1" applyAlignment="1">
      <alignment horizontal="right" wrapText="1"/>
    </xf>
    <xf numFmtId="0" fontId="4" fillId="0" borderId="28" xfId="0" applyFont="1" applyBorder="1" applyAlignment="1">
      <alignment horizontal="right"/>
    </xf>
    <xf numFmtId="0" fontId="4" fillId="0" borderId="64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59" xfId="0" applyFont="1" applyBorder="1" applyAlignment="1">
      <alignment/>
    </xf>
    <xf numFmtId="4" fontId="7" fillId="0" borderId="48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7" fillId="0" borderId="65" xfId="0" applyNumberFormat="1" applyFont="1" applyBorder="1" applyAlignment="1">
      <alignment/>
    </xf>
    <xf numFmtId="0" fontId="17" fillId="0" borderId="34" xfId="0" applyFont="1" applyBorder="1" applyAlignment="1">
      <alignment horizontal="center" wrapText="1"/>
    </xf>
    <xf numFmtId="49" fontId="17" fillId="0" borderId="34" xfId="0" applyNumberFormat="1" applyFont="1" applyBorder="1" applyAlignment="1">
      <alignment horizontal="center" wrapText="1"/>
    </xf>
    <xf numFmtId="0" fontId="17" fillId="0" borderId="66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49" fontId="17" fillId="0" borderId="39" xfId="0" applyNumberFormat="1" applyFont="1" applyBorder="1" applyAlignment="1">
      <alignment horizontal="center" wrapText="1"/>
    </xf>
    <xf numFmtId="0" fontId="17" fillId="0" borderId="67" xfId="0" applyFont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2" fontId="4" fillId="0" borderId="40" xfId="0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4" fontId="4" fillId="0" borderId="67" xfId="0" applyNumberFormat="1" applyFont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4" fillId="0" borderId="52" xfId="0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2" fillId="0" borderId="29" xfId="0" applyFont="1" applyFill="1" applyBorder="1" applyAlignment="1">
      <alignment/>
    </xf>
    <xf numFmtId="49" fontId="10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9" xfId="0" applyFont="1" applyBorder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0" fontId="0" fillId="0" borderId="19" xfId="0" applyNumberFormat="1" applyFont="1" applyBorder="1" applyAlignment="1">
      <alignment horizontal="center" vertical="center"/>
    </xf>
    <xf numFmtId="10" fontId="0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13" fillId="0" borderId="68" xfId="0" applyFont="1" applyBorder="1" applyAlignment="1">
      <alignment horizontal="center" wrapText="1"/>
    </xf>
    <xf numFmtId="0" fontId="13" fillId="0" borderId="41" xfId="0" applyFont="1" applyBorder="1" applyAlignment="1">
      <alignment horizontal="center" wrapText="1"/>
    </xf>
    <xf numFmtId="0" fontId="13" fillId="0" borderId="4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42" applyFont="1" applyFill="1" applyBorder="1" applyAlignment="1">
      <alignment horizontal="right"/>
    </xf>
    <xf numFmtId="44" fontId="0" fillId="0" borderId="0" xfId="42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9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85" zoomScaleNormal="85" zoomScalePageLayoutView="0" workbookViewId="0" topLeftCell="A1">
      <selection activeCell="F30" sqref="F30"/>
    </sheetView>
  </sheetViews>
  <sheetFormatPr defaultColWidth="9.00390625" defaultRowHeight="12.75"/>
  <cols>
    <col min="1" max="1" width="4.875" style="0" customWidth="1"/>
    <col min="2" max="2" width="41.00390625" style="0" customWidth="1"/>
    <col min="3" max="3" width="16.25390625" style="0" customWidth="1"/>
    <col min="4" max="5" width="16.375" style="0" customWidth="1"/>
    <col min="6" max="6" width="19.75390625" style="0" customWidth="1"/>
    <col min="7" max="8" width="18.625" style="0" customWidth="1"/>
    <col min="9" max="9" width="17.25390625" style="0" hidden="1" customWidth="1"/>
  </cols>
  <sheetData>
    <row r="1" spans="1:6" ht="31.5" customHeight="1">
      <c r="A1" s="349" t="s">
        <v>219</v>
      </c>
      <c r="B1" s="349"/>
      <c r="C1" s="349"/>
      <c r="D1" s="349"/>
      <c r="E1" s="349"/>
      <c r="F1" s="349"/>
    </row>
    <row r="2" spans="1:8" ht="12" customHeight="1">
      <c r="A2" s="7"/>
      <c r="B2" s="7"/>
      <c r="C2" s="7"/>
      <c r="D2" s="7"/>
      <c r="E2" s="7"/>
      <c r="H2" t="s">
        <v>38</v>
      </c>
    </row>
    <row r="3" spans="1:7" ht="13.5" customHeight="1" thickBot="1">
      <c r="A3" s="8"/>
      <c r="B3" s="8"/>
      <c r="C3" s="8"/>
      <c r="D3" s="8"/>
      <c r="E3" s="8"/>
      <c r="F3" s="8"/>
      <c r="G3" s="59" t="s">
        <v>39</v>
      </c>
    </row>
    <row r="4" spans="1:9" ht="44.25" customHeight="1">
      <c r="A4" s="175" t="s">
        <v>40</v>
      </c>
      <c r="B4" s="176" t="s">
        <v>41</v>
      </c>
      <c r="C4" s="176" t="s">
        <v>24</v>
      </c>
      <c r="D4" s="176" t="s">
        <v>2</v>
      </c>
      <c r="E4" s="177" t="s">
        <v>3</v>
      </c>
      <c r="F4" s="176" t="s">
        <v>183</v>
      </c>
      <c r="G4" s="178" t="s">
        <v>185</v>
      </c>
      <c r="H4" s="179" t="s">
        <v>186</v>
      </c>
      <c r="I4" s="148" t="s">
        <v>205</v>
      </c>
    </row>
    <row r="5" spans="1:9" ht="21" customHeight="1">
      <c r="A5" s="152"/>
      <c r="B5" s="2" t="s">
        <v>220</v>
      </c>
      <c r="C5" s="2"/>
      <c r="D5" s="2"/>
      <c r="E5" s="9"/>
      <c r="F5" s="103">
        <v>29875.8</v>
      </c>
      <c r="G5" s="102"/>
      <c r="H5" s="153"/>
      <c r="I5" s="148"/>
    </row>
    <row r="6" spans="1:9" ht="16.5" thickBot="1">
      <c r="A6" s="154"/>
      <c r="B6" s="129" t="s">
        <v>222</v>
      </c>
      <c r="C6" s="130">
        <f>C7+C17</f>
        <v>616088.7</v>
      </c>
      <c r="D6" s="130">
        <f>D7+D17</f>
        <v>576280.2</v>
      </c>
      <c r="E6" s="130">
        <f>E7+E17</f>
        <v>609089.8</v>
      </c>
      <c r="F6" s="130">
        <f>F7+F12+F17</f>
        <v>707424.8</v>
      </c>
      <c r="G6" s="131">
        <f>F6-E6</f>
        <v>98335</v>
      </c>
      <c r="H6" s="155">
        <f>H7+H12+H17</f>
        <v>0.9999999999999998</v>
      </c>
      <c r="I6" s="111" t="e">
        <f>I9+I10+I11+#REF!+#REF!</f>
        <v>#REF!</v>
      </c>
    </row>
    <row r="7" spans="1:9" ht="22.5" customHeight="1" thickBot="1">
      <c r="A7" s="120">
        <v>1</v>
      </c>
      <c r="B7" s="134" t="s">
        <v>221</v>
      </c>
      <c r="C7" s="122">
        <f>C9+C10+C11+C8</f>
        <v>344848.8</v>
      </c>
      <c r="D7" s="122">
        <f>D9+D10+D11+D8</f>
        <v>317774.9</v>
      </c>
      <c r="E7" s="122">
        <f>E9+E10+E11+E8</f>
        <v>352022.1</v>
      </c>
      <c r="F7" s="122">
        <f>F9+F10+F11+F8</f>
        <v>321997.39999999997</v>
      </c>
      <c r="G7" s="122">
        <f>G9+G10+G11+G8</f>
        <v>-30024.70000000002</v>
      </c>
      <c r="H7" s="124">
        <f>F7/F6</f>
        <v>0.4551683797344961</v>
      </c>
      <c r="I7" s="111"/>
    </row>
    <row r="8" spans="1:9" ht="15.75">
      <c r="A8" s="156"/>
      <c r="B8" s="116" t="s">
        <v>226</v>
      </c>
      <c r="C8" s="117"/>
      <c r="D8" s="117"/>
      <c r="E8" s="117"/>
      <c r="F8" s="132">
        <v>37036.1</v>
      </c>
      <c r="G8" s="133">
        <f>F8-E8</f>
        <v>37036.1</v>
      </c>
      <c r="H8" s="157">
        <f>F8/F6</f>
        <v>0.05235340915387755</v>
      </c>
      <c r="I8" s="111"/>
    </row>
    <row r="9" spans="1:9" ht="15">
      <c r="A9" s="158" t="s">
        <v>42</v>
      </c>
      <c r="B9" s="2" t="s">
        <v>43</v>
      </c>
      <c r="C9" s="104">
        <v>2537.8</v>
      </c>
      <c r="D9" s="104">
        <v>2418.5</v>
      </c>
      <c r="E9" s="105">
        <v>2716.4</v>
      </c>
      <c r="F9" s="104">
        <v>6363</v>
      </c>
      <c r="G9" s="106">
        <f>F9-E9</f>
        <v>3646.6</v>
      </c>
      <c r="H9" s="159">
        <f>F9/F6</f>
        <v>0.008994595609314234</v>
      </c>
      <c r="I9" s="149">
        <v>7000</v>
      </c>
    </row>
    <row r="10" spans="1:9" ht="29.25" customHeight="1">
      <c r="A10" s="158" t="s">
        <v>44</v>
      </c>
      <c r="B10" s="3" t="s">
        <v>45</v>
      </c>
      <c r="C10" s="104">
        <v>22758.2</v>
      </c>
      <c r="D10" s="104">
        <v>22027.5</v>
      </c>
      <c r="E10" s="105">
        <v>22021.4</v>
      </c>
      <c r="F10" s="104">
        <v>9792.2</v>
      </c>
      <c r="G10" s="106">
        <f aca="true" t="shared" si="0" ref="G10:G28">F10-E10</f>
        <v>-12229.2</v>
      </c>
      <c r="H10" s="159">
        <f>F10/F6</f>
        <v>0.013842036637675128</v>
      </c>
      <c r="I10" s="149">
        <v>10300.9</v>
      </c>
    </row>
    <row r="11" spans="1:9" ht="31.5" customHeight="1" thickBot="1">
      <c r="A11" s="160" t="s">
        <v>46</v>
      </c>
      <c r="B11" s="126" t="s">
        <v>213</v>
      </c>
      <c r="C11" s="113">
        <v>319552.8</v>
      </c>
      <c r="D11" s="113">
        <v>293328.9</v>
      </c>
      <c r="E11" s="114">
        <v>327284.3</v>
      </c>
      <c r="F11" s="113">
        <v>268806.1</v>
      </c>
      <c r="G11" s="115">
        <f t="shared" si="0"/>
        <v>-58478.20000000001</v>
      </c>
      <c r="H11" s="161">
        <f>F11/F6</f>
        <v>0.3799783383336292</v>
      </c>
      <c r="I11" s="149" t="e">
        <f>316481.5-I10-I9-#REF!</f>
        <v>#REF!</v>
      </c>
    </row>
    <row r="12" spans="1:9" s="108" customFormat="1" ht="29.25" customHeight="1" thickBot="1">
      <c r="A12" s="120">
        <v>2</v>
      </c>
      <c r="B12" s="121" t="s">
        <v>214</v>
      </c>
      <c r="C12" s="128" t="s">
        <v>89</v>
      </c>
      <c r="D12" s="128" t="s">
        <v>89</v>
      </c>
      <c r="E12" s="122" t="s">
        <v>89</v>
      </c>
      <c r="F12" s="128">
        <f>F14+F15+F16</f>
        <v>100601.6</v>
      </c>
      <c r="G12" s="128">
        <f>G14+G15+G16</f>
        <v>0</v>
      </c>
      <c r="H12" s="124">
        <f>F12/F6</f>
        <v>0.14220818947823147</v>
      </c>
      <c r="I12" s="125"/>
    </row>
    <row r="13" spans="1:9" s="108" customFormat="1" ht="15.75" customHeight="1">
      <c r="A13" s="156"/>
      <c r="B13" s="116" t="s">
        <v>226</v>
      </c>
      <c r="C13" s="127"/>
      <c r="D13" s="127"/>
      <c r="E13" s="117"/>
      <c r="F13" s="127">
        <v>12603.3</v>
      </c>
      <c r="G13" s="119"/>
      <c r="H13" s="162">
        <f>F13/F6</f>
        <v>0.017815745221258852</v>
      </c>
      <c r="I13" s="125"/>
    </row>
    <row r="14" spans="1:9" s="108" customFormat="1" ht="18.75" customHeight="1">
      <c r="A14" s="163" t="s">
        <v>42</v>
      </c>
      <c r="B14" s="107" t="s">
        <v>223</v>
      </c>
      <c r="C14" s="104"/>
      <c r="D14" s="104"/>
      <c r="E14" s="105"/>
      <c r="F14" s="104">
        <v>99057</v>
      </c>
      <c r="G14" s="106"/>
      <c r="H14" s="159">
        <f>F14/F6</f>
        <v>0.14002477719186548</v>
      </c>
      <c r="I14" s="125"/>
    </row>
    <row r="15" spans="1:9" s="108" customFormat="1" ht="15.75" customHeight="1">
      <c r="A15" s="163" t="s">
        <v>44</v>
      </c>
      <c r="B15" s="107" t="s">
        <v>224</v>
      </c>
      <c r="C15" s="104"/>
      <c r="D15" s="104"/>
      <c r="E15" s="105"/>
      <c r="F15" s="104">
        <v>1058.6</v>
      </c>
      <c r="G15" s="106"/>
      <c r="H15" s="159">
        <f>F15/F6</f>
        <v>0.0014964134703787594</v>
      </c>
      <c r="I15" s="125"/>
    </row>
    <row r="16" spans="1:9" s="108" customFormat="1" ht="18.75" customHeight="1" thickBot="1">
      <c r="A16" s="164" t="s">
        <v>46</v>
      </c>
      <c r="B16" s="112" t="s">
        <v>225</v>
      </c>
      <c r="C16" s="113"/>
      <c r="D16" s="113"/>
      <c r="E16" s="114"/>
      <c r="F16" s="113">
        <v>486</v>
      </c>
      <c r="G16" s="115"/>
      <c r="H16" s="161">
        <f>F16/F6</f>
        <v>0.0006869988159872258</v>
      </c>
      <c r="I16" s="125"/>
    </row>
    <row r="17" spans="1:9" ht="31.5" customHeight="1" thickBot="1">
      <c r="A17" s="120">
        <v>3</v>
      </c>
      <c r="B17" s="121" t="s">
        <v>63</v>
      </c>
      <c r="C17" s="122">
        <f>SUM(C18:C28)</f>
        <v>271239.9</v>
      </c>
      <c r="D17" s="122">
        <f>SUM(D19:D28)</f>
        <v>258505.3</v>
      </c>
      <c r="E17" s="122">
        <f>SUM(E19:E28)</f>
        <v>257067.7</v>
      </c>
      <c r="F17" s="122">
        <f>F19+F20+F21+F22+F23+F24+F25+F26+F28+F18</f>
        <v>284825.8</v>
      </c>
      <c r="G17" s="123">
        <f t="shared" si="0"/>
        <v>27758.099999999977</v>
      </c>
      <c r="H17" s="124">
        <f>F17/F6</f>
        <v>0.4026234307872723</v>
      </c>
      <c r="I17" s="111">
        <f>I19+I20+I21+I22+I23+I25+I26+I28</f>
        <v>0</v>
      </c>
    </row>
    <row r="18" spans="1:9" ht="17.25" customHeight="1">
      <c r="A18" s="156"/>
      <c r="B18" s="139" t="s">
        <v>226</v>
      </c>
      <c r="C18" s="117"/>
      <c r="D18" s="117"/>
      <c r="E18" s="117"/>
      <c r="F18" s="118">
        <v>7316.7</v>
      </c>
      <c r="G18" s="119">
        <f>F18-E18</f>
        <v>7316.7</v>
      </c>
      <c r="H18" s="162">
        <f>F18/F6</f>
        <v>0.010342724767353362</v>
      </c>
      <c r="I18" s="111"/>
    </row>
    <row r="19" spans="1:9" ht="15">
      <c r="A19" s="158" t="s">
        <v>42</v>
      </c>
      <c r="B19" s="101" t="s">
        <v>49</v>
      </c>
      <c r="C19" s="104">
        <v>228565</v>
      </c>
      <c r="D19" s="104">
        <v>220087.4</v>
      </c>
      <c r="E19" s="105">
        <v>212965.6</v>
      </c>
      <c r="F19" s="104">
        <v>228775.3</v>
      </c>
      <c r="G19" s="106">
        <f t="shared" si="0"/>
        <v>15809.699999999983</v>
      </c>
      <c r="H19" s="159">
        <f>F19/F6</f>
        <v>0.32339168771012833</v>
      </c>
      <c r="I19" s="149"/>
    </row>
    <row r="20" spans="1:9" ht="17.25" customHeight="1">
      <c r="A20" s="158" t="s">
        <v>44</v>
      </c>
      <c r="B20" s="107" t="s">
        <v>51</v>
      </c>
      <c r="C20" s="104">
        <v>7233.2</v>
      </c>
      <c r="D20" s="104">
        <v>5209.3</v>
      </c>
      <c r="E20" s="105">
        <v>7333.1</v>
      </c>
      <c r="F20" s="104">
        <v>6627.7</v>
      </c>
      <c r="G20" s="106">
        <f t="shared" si="0"/>
        <v>-705.4000000000005</v>
      </c>
      <c r="H20" s="159">
        <f>F20/F6</f>
        <v>0.009368769655799457</v>
      </c>
      <c r="I20" s="149"/>
    </row>
    <row r="21" spans="1:9" ht="42.75">
      <c r="A21" s="158" t="s">
        <v>46</v>
      </c>
      <c r="B21" s="107" t="s">
        <v>53</v>
      </c>
      <c r="C21" s="104">
        <v>1037.5</v>
      </c>
      <c r="D21" s="104">
        <v>1096.2</v>
      </c>
      <c r="E21" s="105">
        <v>719.7</v>
      </c>
      <c r="F21" s="109">
        <v>557.9</v>
      </c>
      <c r="G21" s="106">
        <f t="shared" si="0"/>
        <v>-161.80000000000007</v>
      </c>
      <c r="H21" s="159">
        <f>F21/F6</f>
        <v>0.0007886350605746362</v>
      </c>
      <c r="I21" s="149"/>
    </row>
    <row r="22" spans="1:9" ht="15">
      <c r="A22" s="158" t="s">
        <v>47</v>
      </c>
      <c r="B22" s="101" t="s">
        <v>55</v>
      </c>
      <c r="C22" s="104">
        <v>6900.6</v>
      </c>
      <c r="D22" s="104">
        <v>6314.6</v>
      </c>
      <c r="E22" s="105">
        <v>6128.5</v>
      </c>
      <c r="F22" s="109">
        <v>6113.3</v>
      </c>
      <c r="G22" s="106">
        <f t="shared" si="0"/>
        <v>-15.199999999999818</v>
      </c>
      <c r="H22" s="159">
        <f>F22/F6</f>
        <v>0.00864162522998911</v>
      </c>
      <c r="I22" s="149"/>
    </row>
    <row r="23" spans="1:9" ht="15">
      <c r="A23" s="158" t="s">
        <v>48</v>
      </c>
      <c r="B23" s="101" t="s">
        <v>57</v>
      </c>
      <c r="C23" s="104">
        <v>6877.1</v>
      </c>
      <c r="D23" s="104">
        <v>9051.6</v>
      </c>
      <c r="E23" s="105">
        <v>11774.2</v>
      </c>
      <c r="F23" s="109">
        <v>12250.4</v>
      </c>
      <c r="G23" s="106">
        <f t="shared" si="0"/>
        <v>476.1999999999989</v>
      </c>
      <c r="H23" s="159">
        <f>F23/F6</f>
        <v>0.017316893611872244</v>
      </c>
      <c r="I23" s="149"/>
    </row>
    <row r="24" spans="1:9" ht="15">
      <c r="A24" s="158" t="s">
        <v>50</v>
      </c>
      <c r="B24" s="101" t="s">
        <v>215</v>
      </c>
      <c r="C24" s="104"/>
      <c r="D24" s="104"/>
      <c r="E24" s="105"/>
      <c r="F24" s="109">
        <v>3871.8</v>
      </c>
      <c r="G24" s="106">
        <f t="shared" si="0"/>
        <v>3871.8</v>
      </c>
      <c r="H24" s="159">
        <f>F24/F6</f>
        <v>0.005473090567364899</v>
      </c>
      <c r="I24" s="149"/>
    </row>
    <row r="25" spans="1:9" ht="15">
      <c r="A25" s="158" t="s">
        <v>52</v>
      </c>
      <c r="B25" s="101" t="s">
        <v>58</v>
      </c>
      <c r="C25" s="104">
        <v>14636.3</v>
      </c>
      <c r="D25" s="104">
        <v>11275.9</v>
      </c>
      <c r="E25" s="105">
        <v>9880.8</v>
      </c>
      <c r="F25" s="109">
        <f>31565.4-F22-F23-F24-F21</f>
        <v>8772.000000000002</v>
      </c>
      <c r="G25" s="106">
        <f t="shared" si="0"/>
        <v>-1108.7999999999975</v>
      </c>
      <c r="H25" s="159">
        <f>F25/F6</f>
        <v>0.012399904555226226</v>
      </c>
      <c r="I25" s="149"/>
    </row>
    <row r="26" spans="1:9" ht="15">
      <c r="A26" s="158" t="s">
        <v>54</v>
      </c>
      <c r="B26" s="101" t="s">
        <v>60</v>
      </c>
      <c r="C26" s="104">
        <v>3331</v>
      </c>
      <c r="D26" s="104">
        <v>3313</v>
      </c>
      <c r="E26" s="105">
        <v>92.4</v>
      </c>
      <c r="F26" s="104">
        <f>17168.4-F28-F20</f>
        <v>7755.700000000002</v>
      </c>
      <c r="G26" s="106">
        <f t="shared" si="0"/>
        <v>7663.300000000002</v>
      </c>
      <c r="H26" s="159">
        <f>F26/F6</f>
        <v>0.010963285426238947</v>
      </c>
      <c r="I26" s="149"/>
    </row>
    <row r="27" spans="1:9" ht="15" customHeight="1">
      <c r="A27" s="158"/>
      <c r="B27" s="107" t="s">
        <v>198</v>
      </c>
      <c r="C27" s="104" t="s">
        <v>89</v>
      </c>
      <c r="D27" s="104" t="s">
        <v>89</v>
      </c>
      <c r="E27" s="105">
        <v>3971.4</v>
      </c>
      <c r="F27" s="104">
        <v>4911.1</v>
      </c>
      <c r="G27" s="106">
        <f>F27-E27</f>
        <v>939.7000000000003</v>
      </c>
      <c r="H27" s="159">
        <f>F27/F6</f>
        <v>0.006942221985997664</v>
      </c>
      <c r="I27" s="149"/>
    </row>
    <row r="28" spans="1:9" ht="15.75" thickBot="1">
      <c r="A28" s="165" t="s">
        <v>56</v>
      </c>
      <c r="B28" s="140" t="s">
        <v>62</v>
      </c>
      <c r="C28" s="135">
        <v>2659.2</v>
      </c>
      <c r="D28" s="135">
        <v>2157.3</v>
      </c>
      <c r="E28" s="136">
        <v>4202</v>
      </c>
      <c r="F28" s="137">
        <v>2785</v>
      </c>
      <c r="G28" s="138">
        <f t="shared" si="0"/>
        <v>-1417</v>
      </c>
      <c r="H28" s="166">
        <f>F28/F6</f>
        <v>0.003936814202725151</v>
      </c>
      <c r="I28" s="150"/>
    </row>
    <row r="29" spans="1:9" ht="15">
      <c r="A29" s="167"/>
      <c r="B29" s="139" t="s">
        <v>230</v>
      </c>
      <c r="C29" s="127"/>
      <c r="D29" s="127"/>
      <c r="E29" s="117"/>
      <c r="F29" s="118">
        <f>F30+F31+F32</f>
        <v>48512.3</v>
      </c>
      <c r="G29" s="119"/>
      <c r="H29" s="168">
        <f>H30+H31+H32</f>
        <v>0.9999196144792875</v>
      </c>
      <c r="I29" s="150"/>
    </row>
    <row r="30" spans="1:9" ht="15">
      <c r="A30" s="163"/>
      <c r="B30" s="101" t="s">
        <v>233</v>
      </c>
      <c r="C30" s="104"/>
      <c r="D30" s="104"/>
      <c r="E30" s="105"/>
      <c r="F30" s="110">
        <v>18077.7</v>
      </c>
      <c r="G30" s="106"/>
      <c r="H30" s="169">
        <f>F30/48516.2</f>
        <v>0.3726116225095948</v>
      </c>
      <c r="I30" s="150"/>
    </row>
    <row r="31" spans="1:9" ht="15.75" thickBot="1">
      <c r="A31" s="163"/>
      <c r="B31" s="101" t="s">
        <v>232</v>
      </c>
      <c r="C31" s="104"/>
      <c r="D31" s="104"/>
      <c r="E31" s="105"/>
      <c r="F31" s="172">
        <v>93.1</v>
      </c>
      <c r="G31" s="106"/>
      <c r="H31" s="169">
        <f>F31/48516.2</f>
        <v>0.0019189466611152564</v>
      </c>
      <c r="I31" s="150"/>
    </row>
    <row r="32" spans="1:9" ht="16.5" thickBot="1">
      <c r="A32" s="170"/>
      <c r="B32" s="140" t="s">
        <v>231</v>
      </c>
      <c r="C32" s="171">
        <v>93</v>
      </c>
      <c r="D32" s="171"/>
      <c r="E32" s="171"/>
      <c r="F32" s="172">
        <v>30341.5</v>
      </c>
      <c r="G32" s="173"/>
      <c r="H32" s="174">
        <f>F32/48516.2</f>
        <v>0.6253890453085774</v>
      </c>
      <c r="I32" s="151"/>
    </row>
    <row r="33" ht="12.75">
      <c r="H33" s="141"/>
    </row>
    <row r="34" spans="2:6" ht="12.75">
      <c r="B34" t="s">
        <v>187</v>
      </c>
      <c r="F34" t="s">
        <v>188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70" zoomScaleNormal="70" zoomScalePageLayoutView="0" workbookViewId="0" topLeftCell="A1">
      <selection activeCell="M6" sqref="M6:M7"/>
    </sheetView>
  </sheetViews>
  <sheetFormatPr defaultColWidth="9.00390625" defaultRowHeight="12.75"/>
  <cols>
    <col min="1" max="1" width="4.125" style="0" customWidth="1"/>
    <col min="2" max="2" width="28.25390625" style="0" customWidth="1"/>
    <col min="3" max="3" width="11.625" style="0" customWidth="1"/>
    <col min="4" max="4" width="9.875" style="0" customWidth="1"/>
    <col min="5" max="5" width="11.625" style="0" customWidth="1"/>
    <col min="6" max="6" width="9.875" style="0" customWidth="1"/>
    <col min="7" max="8" width="10.625" style="0" customWidth="1"/>
    <col min="9" max="9" width="11.75390625" style="0" customWidth="1"/>
    <col min="10" max="10" width="11.875" style="0" customWidth="1"/>
    <col min="11" max="11" width="12.00390625" style="0" customWidth="1"/>
    <col min="12" max="12" width="10.125" style="0" customWidth="1"/>
    <col min="13" max="13" width="12.625" style="0" customWidth="1"/>
    <col min="14" max="14" width="10.25390625" style="0" customWidth="1"/>
    <col min="15" max="15" width="15.00390625" style="0" hidden="1" customWidth="1"/>
    <col min="16" max="16" width="13.00390625" style="0" hidden="1" customWidth="1"/>
    <col min="17" max="17" width="16.25390625" style="0" hidden="1" customWidth="1"/>
    <col min="18" max="18" width="13.25390625" style="0" hidden="1" customWidth="1"/>
  </cols>
  <sheetData>
    <row r="1" spans="1:15" ht="18">
      <c r="A1" s="351" t="s">
        <v>234</v>
      </c>
      <c r="B1" s="351"/>
      <c r="C1" s="351"/>
      <c r="D1" s="351"/>
      <c r="E1" s="351"/>
      <c r="F1" s="351"/>
      <c r="G1" s="351"/>
      <c r="H1" s="10"/>
      <c r="I1" s="10"/>
      <c r="J1" s="10"/>
      <c r="K1" s="10"/>
      <c r="L1" s="10"/>
      <c r="M1" s="10"/>
      <c r="N1" s="10"/>
      <c r="O1" s="10"/>
    </row>
    <row r="2" spans="1:15" ht="21" customHeight="1">
      <c r="A2" s="10"/>
      <c r="B2" s="351" t="s">
        <v>235</v>
      </c>
      <c r="C2" s="351"/>
      <c r="D2" s="10"/>
      <c r="E2" s="10"/>
      <c r="F2" s="10"/>
      <c r="G2" s="10"/>
      <c r="H2" s="10"/>
      <c r="I2" s="10"/>
      <c r="J2" s="10"/>
      <c r="K2" s="10"/>
      <c r="L2" t="s">
        <v>64</v>
      </c>
      <c r="M2" s="10"/>
      <c r="N2" s="10"/>
      <c r="O2" s="10"/>
    </row>
    <row r="3" spans="1:15" ht="13.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8" ht="16.5" thickBot="1">
      <c r="A4" s="12"/>
      <c r="B4" s="142"/>
      <c r="C4" s="354" t="s">
        <v>120</v>
      </c>
      <c r="D4" s="355"/>
      <c r="E4" s="355"/>
      <c r="F4" s="355"/>
      <c r="G4" s="356"/>
      <c r="H4" s="357"/>
      <c r="I4" s="354" t="s">
        <v>184</v>
      </c>
      <c r="J4" s="355"/>
      <c r="K4" s="355"/>
      <c r="L4" s="355"/>
      <c r="M4" s="356"/>
      <c r="N4" s="357"/>
      <c r="O4" s="352" t="s">
        <v>204</v>
      </c>
      <c r="P4" s="353"/>
      <c r="Q4" s="353" t="s">
        <v>212</v>
      </c>
      <c r="R4" s="353"/>
    </row>
    <row r="5" spans="1:18" ht="30">
      <c r="A5" s="13" t="s">
        <v>40</v>
      </c>
      <c r="B5" s="84" t="s">
        <v>66</v>
      </c>
      <c r="C5" s="24" t="s">
        <v>217</v>
      </c>
      <c r="D5" s="13" t="s">
        <v>216</v>
      </c>
      <c r="E5" s="13" t="s">
        <v>218</v>
      </c>
      <c r="F5" s="84" t="s">
        <v>216</v>
      </c>
      <c r="G5" s="88" t="s">
        <v>142</v>
      </c>
      <c r="H5" s="89" t="s">
        <v>216</v>
      </c>
      <c r="I5" s="24" t="s">
        <v>217</v>
      </c>
      <c r="J5" s="13" t="s">
        <v>216</v>
      </c>
      <c r="K5" s="13" t="s">
        <v>218</v>
      </c>
      <c r="L5" s="84" t="s">
        <v>216</v>
      </c>
      <c r="M5" s="88" t="s">
        <v>189</v>
      </c>
      <c r="N5" s="89" t="s">
        <v>216</v>
      </c>
      <c r="O5" s="86" t="s">
        <v>217</v>
      </c>
      <c r="P5" s="13" t="s">
        <v>216</v>
      </c>
      <c r="Q5" s="13" t="s">
        <v>217</v>
      </c>
      <c r="R5" s="13" t="s">
        <v>68</v>
      </c>
    </row>
    <row r="6" spans="1:18" ht="30.75">
      <c r="A6" s="14" t="s">
        <v>42</v>
      </c>
      <c r="B6" s="84" t="s">
        <v>70</v>
      </c>
      <c r="C6" s="16">
        <v>153625</v>
      </c>
      <c r="D6" s="71">
        <f>C6/C20</f>
        <v>0.43646888221917396</v>
      </c>
      <c r="E6" s="98">
        <v>125600.8</v>
      </c>
      <c r="F6" s="229">
        <f>E6*100/243940.9</f>
        <v>51.48820882435049</v>
      </c>
      <c r="G6" s="90">
        <f aca="true" t="shared" si="0" ref="G6:G19">C6+E6</f>
        <v>279225.8</v>
      </c>
      <c r="H6" s="91">
        <f>G6*100/595913.3</f>
        <v>46.85678268969664</v>
      </c>
      <c r="I6" s="16">
        <f>166695.4+23196.8</f>
        <v>189892.19999999998</v>
      </c>
      <c r="J6" s="228">
        <f>I6*100/404428.2</f>
        <v>46.95325400157556</v>
      </c>
      <c r="K6" s="98">
        <f>117844.9+1430.8</f>
        <v>119275.7</v>
      </c>
      <c r="L6" s="85">
        <f>K6/K20</f>
        <v>0.46869571128749393</v>
      </c>
      <c r="M6" s="90">
        <f aca="true" t="shared" si="1" ref="M6:M19">I6+K6</f>
        <v>309167.89999999997</v>
      </c>
      <c r="N6" s="96">
        <f>M6*100/658912.5</f>
        <v>46.92093411492421</v>
      </c>
      <c r="O6" s="87">
        <f>172690.92+11513.27</f>
        <v>184204.19</v>
      </c>
      <c r="P6" s="80">
        <f>O6/O20</f>
        <v>0.6143818585235508</v>
      </c>
      <c r="Q6" s="78">
        <f>175751740+7000000</f>
        <v>182751740</v>
      </c>
      <c r="R6" s="82">
        <f>Q6*100/296162650.13</f>
        <v>61.70654534587042</v>
      </c>
    </row>
    <row r="7" spans="1:18" ht="15.75">
      <c r="A7" s="14" t="s">
        <v>44</v>
      </c>
      <c r="B7" s="84" t="s">
        <v>71</v>
      </c>
      <c r="C7" s="16">
        <v>1017.5</v>
      </c>
      <c r="D7" s="71">
        <f>C7/C20</f>
        <v>0.0028908516690513233</v>
      </c>
      <c r="E7" s="98">
        <v>963</v>
      </c>
      <c r="F7" s="229">
        <f>E7/E20</f>
        <v>0.003947677490736485</v>
      </c>
      <c r="G7" s="90">
        <f t="shared" si="0"/>
        <v>1980.5</v>
      </c>
      <c r="H7" s="91">
        <f aca="true" t="shared" si="2" ref="H7:H20">G7*100/595913.3</f>
        <v>0.33234700416990187</v>
      </c>
      <c r="I7" s="16">
        <f>96.9+3.6+932.1+88.2</f>
        <v>1120.8</v>
      </c>
      <c r="J7" s="228">
        <f aca="true" t="shared" si="3" ref="J7:J20">I7*100/404428.2</f>
        <v>0.277132010082383</v>
      </c>
      <c r="K7" s="98">
        <f>773+23.2</f>
        <v>796.2</v>
      </c>
      <c r="L7" s="85">
        <f>K7/K20</f>
        <v>0.0031286802368554758</v>
      </c>
      <c r="M7" s="90">
        <f t="shared" si="1"/>
        <v>1917</v>
      </c>
      <c r="N7" s="96">
        <f aca="true" t="shared" si="4" ref="N7:N19">M7*100/658912.5</f>
        <v>0.29093392521768824</v>
      </c>
      <c r="O7" s="87">
        <f>105.35+5.27</f>
        <v>110.61999999999999</v>
      </c>
      <c r="P7" s="80">
        <f>O7/O20</f>
        <v>0.0003689542631461053</v>
      </c>
      <c r="Q7" s="78">
        <f>20300+60918.39</f>
        <v>81218.39</v>
      </c>
      <c r="R7" s="82">
        <f aca="true" t="shared" si="5" ref="R7:R20">Q7*100/296162650.13</f>
        <v>0.027423576188405036</v>
      </c>
    </row>
    <row r="8" spans="1:18" ht="30.75">
      <c r="A8" s="14" t="s">
        <v>46</v>
      </c>
      <c r="B8" s="84" t="s">
        <v>227</v>
      </c>
      <c r="C8" s="16">
        <v>47289.8</v>
      </c>
      <c r="D8" s="71">
        <f>C8/C20</f>
        <v>0.1343565575028042</v>
      </c>
      <c r="E8" s="98">
        <v>38717.3</v>
      </c>
      <c r="F8" s="229">
        <f>E8/E20</f>
        <v>0.15871590208939954</v>
      </c>
      <c r="G8" s="90">
        <f t="shared" si="0"/>
        <v>86007.1</v>
      </c>
      <c r="H8" s="91">
        <f t="shared" si="2"/>
        <v>14.432821016077337</v>
      </c>
      <c r="I8" s="16">
        <f>47502.8+6848.7</f>
        <v>54351.5</v>
      </c>
      <c r="J8" s="228">
        <f t="shared" si="3"/>
        <v>13.439097471442397</v>
      </c>
      <c r="K8" s="98">
        <f>33547.4+295.5</f>
        <v>33842.9</v>
      </c>
      <c r="L8" s="85">
        <f>K8/K20</f>
        <v>0.13298619993453425</v>
      </c>
      <c r="M8" s="90">
        <f t="shared" si="1"/>
        <v>88194.4</v>
      </c>
      <c r="N8" s="96">
        <f t="shared" si="4"/>
        <v>13.384842448731812</v>
      </c>
      <c r="O8" s="87">
        <f>52152.66+2310.7</f>
        <v>54463.36</v>
      </c>
      <c r="P8" s="80">
        <f>O8/O20</f>
        <v>0.18165330733376484</v>
      </c>
      <c r="Q8" s="78">
        <v>53077025</v>
      </c>
      <c r="R8" s="82">
        <f t="shared" si="5"/>
        <v>17.921579570111877</v>
      </c>
    </row>
    <row r="9" spans="1:18" ht="18.75" customHeight="1">
      <c r="A9" s="14" t="s">
        <v>47</v>
      </c>
      <c r="B9" s="84" t="s">
        <v>72</v>
      </c>
      <c r="C9" s="16">
        <v>820</v>
      </c>
      <c r="D9" s="71">
        <f>C9/C20</f>
        <v>0.0023297281264099117</v>
      </c>
      <c r="E9" s="98">
        <v>1093.8</v>
      </c>
      <c r="F9" s="229">
        <f>E9/E20</f>
        <v>0.004483872938076395</v>
      </c>
      <c r="G9" s="90">
        <f t="shared" si="0"/>
        <v>1913.8</v>
      </c>
      <c r="H9" s="91">
        <f t="shared" si="2"/>
        <v>0.32115410077271306</v>
      </c>
      <c r="I9" s="16">
        <v>0</v>
      </c>
      <c r="J9" s="228">
        <f t="shared" si="3"/>
        <v>0</v>
      </c>
      <c r="K9" s="98">
        <f>1574.4+312.2</f>
        <v>1886.6000000000001</v>
      </c>
      <c r="L9" s="85">
        <f>K9/K20</f>
        <v>0.007413423932242579</v>
      </c>
      <c r="M9" s="90">
        <f t="shared" si="1"/>
        <v>1886.6000000000001</v>
      </c>
      <c r="N9" s="96">
        <f t="shared" si="4"/>
        <v>0.28632026255382925</v>
      </c>
      <c r="O9" s="87">
        <v>0</v>
      </c>
      <c r="P9" s="80">
        <f>O9/O20</f>
        <v>0</v>
      </c>
      <c r="Q9" s="78">
        <v>0</v>
      </c>
      <c r="R9" s="82">
        <f t="shared" si="5"/>
        <v>0</v>
      </c>
    </row>
    <row r="10" spans="1:18" ht="22.5" customHeight="1">
      <c r="A10" s="14" t="s">
        <v>48</v>
      </c>
      <c r="B10" s="84" t="s">
        <v>73</v>
      </c>
      <c r="C10" s="16">
        <v>1417.2</v>
      </c>
      <c r="D10" s="71">
        <f>C10/C20</f>
        <v>0.0040264520740830815</v>
      </c>
      <c r="E10" s="98">
        <v>3212.6</v>
      </c>
      <c r="F10" s="229">
        <f>E10/E20</f>
        <v>0.01316958328841125</v>
      </c>
      <c r="G10" s="90">
        <f t="shared" si="0"/>
        <v>4629.8</v>
      </c>
      <c r="H10" s="91">
        <f t="shared" si="2"/>
        <v>0.7769250996747346</v>
      </c>
      <c r="I10" s="16">
        <f>1586.2+62</f>
        <v>1648.2</v>
      </c>
      <c r="J10" s="228">
        <f t="shared" si="3"/>
        <v>0.4075383467324979</v>
      </c>
      <c r="K10" s="98">
        <f>3228.8+102.7</f>
        <v>3331.5</v>
      </c>
      <c r="L10" s="85">
        <f>K10/K20</f>
        <v>0.013091180870489848</v>
      </c>
      <c r="M10" s="90">
        <f t="shared" si="1"/>
        <v>4979.7</v>
      </c>
      <c r="N10" s="96">
        <f t="shared" si="4"/>
        <v>0.7557452620795629</v>
      </c>
      <c r="O10" s="87">
        <f>1987+82</f>
        <v>2069</v>
      </c>
      <c r="P10" s="80">
        <f>O10/O20</f>
        <v>0.006900798865027046</v>
      </c>
      <c r="Q10" s="78">
        <f>1195300+594622.1</f>
        <v>1789922.1</v>
      </c>
      <c r="R10" s="82">
        <f t="shared" si="5"/>
        <v>0.6043713139433069</v>
      </c>
    </row>
    <row r="11" spans="1:18" ht="20.25" customHeight="1">
      <c r="A11" s="14" t="s">
        <v>50</v>
      </c>
      <c r="B11" s="84" t="s">
        <v>74</v>
      </c>
      <c r="C11" s="16">
        <v>11642.3</v>
      </c>
      <c r="D11" s="71">
        <f>C11/C20</f>
        <v>0.033077309470856235</v>
      </c>
      <c r="E11" s="98">
        <v>12466.8</v>
      </c>
      <c r="F11" s="229">
        <f>E11/E20</f>
        <v>0.0511058211230671</v>
      </c>
      <c r="G11" s="90">
        <f t="shared" si="0"/>
        <v>24109.1</v>
      </c>
      <c r="H11" s="91">
        <f t="shared" si="2"/>
        <v>4.04573953962766</v>
      </c>
      <c r="I11" s="16">
        <f>11583.1+4264</f>
        <v>15847.1</v>
      </c>
      <c r="J11" s="228">
        <f t="shared" si="3"/>
        <v>3.9183963927342353</v>
      </c>
      <c r="K11" s="98">
        <f>12472.9+396.6</f>
        <v>12869.5</v>
      </c>
      <c r="L11" s="85">
        <f>K11/K20</f>
        <v>0.05057089965864298</v>
      </c>
      <c r="M11" s="90">
        <f t="shared" si="1"/>
        <v>28716.6</v>
      </c>
      <c r="N11" s="96">
        <f t="shared" si="4"/>
        <v>4.358181093847818</v>
      </c>
      <c r="O11" s="87">
        <v>15039.3</v>
      </c>
      <c r="P11" s="80">
        <f>O11/O20</f>
        <v>0.05016103642861346</v>
      </c>
      <c r="Q11" s="78">
        <v>15039300</v>
      </c>
      <c r="R11" s="82">
        <f t="shared" si="5"/>
        <v>5.0780542358729335</v>
      </c>
    </row>
    <row r="12" spans="1:18" ht="21" customHeight="1">
      <c r="A12" s="14" t="s">
        <v>52</v>
      </c>
      <c r="B12" s="84" t="s">
        <v>228</v>
      </c>
      <c r="C12" s="16">
        <v>0</v>
      </c>
      <c r="D12" s="71">
        <f>C12/C20</f>
        <v>0</v>
      </c>
      <c r="E12" s="98">
        <v>430.8</v>
      </c>
      <c r="F12" s="229">
        <f>E12/E20</f>
        <v>0.0017660015192204341</v>
      </c>
      <c r="G12" s="90">
        <f t="shared" si="0"/>
        <v>430.8</v>
      </c>
      <c r="H12" s="91">
        <f t="shared" si="2"/>
        <v>0.07229239555485671</v>
      </c>
      <c r="I12" s="16">
        <v>0</v>
      </c>
      <c r="J12" s="228">
        <f t="shared" si="3"/>
        <v>0</v>
      </c>
      <c r="K12" s="98">
        <f>452.7</f>
        <v>452.7</v>
      </c>
      <c r="L12" s="85">
        <f>K12/K20</f>
        <v>0.0017788916644366664</v>
      </c>
      <c r="M12" s="90">
        <f t="shared" si="1"/>
        <v>452.7</v>
      </c>
      <c r="N12" s="96">
        <f t="shared" si="4"/>
        <v>0.06870411473450572</v>
      </c>
      <c r="O12" s="87">
        <v>0</v>
      </c>
      <c r="P12" s="80">
        <f>O12/O20</f>
        <v>0</v>
      </c>
      <c r="Q12" s="78">
        <v>0</v>
      </c>
      <c r="R12" s="82">
        <f t="shared" si="5"/>
        <v>0</v>
      </c>
    </row>
    <row r="13" spans="1:18" ht="30.75">
      <c r="A13" s="14" t="s">
        <v>54</v>
      </c>
      <c r="B13" s="84" t="s">
        <v>229</v>
      </c>
      <c r="C13" s="16">
        <v>6101.6</v>
      </c>
      <c r="D13" s="71">
        <f>C13/C20</f>
        <v>0.017335450165978924</v>
      </c>
      <c r="E13" s="98">
        <v>2203.9</v>
      </c>
      <c r="F13" s="229">
        <f>E13/E20</f>
        <v>0.009034565339391632</v>
      </c>
      <c r="G13" s="90">
        <f t="shared" si="0"/>
        <v>8305.5</v>
      </c>
      <c r="H13" s="91">
        <f t="shared" si="2"/>
        <v>1.39374301597229</v>
      </c>
      <c r="I13" s="16">
        <f>3133.2+399.6</f>
        <v>3532.7999999999997</v>
      </c>
      <c r="J13" s="228">
        <f t="shared" si="3"/>
        <v>0.8735295906665262</v>
      </c>
      <c r="K13" s="98">
        <f>6241.4+447.5</f>
        <v>6688.9</v>
      </c>
      <c r="L13" s="85">
        <f>K13/K20</f>
        <v>0.026284136192291623</v>
      </c>
      <c r="M13" s="90">
        <f t="shared" si="1"/>
        <v>10221.699999999999</v>
      </c>
      <c r="N13" s="96">
        <f t="shared" si="4"/>
        <v>1.5512985411568303</v>
      </c>
      <c r="O13" s="87">
        <f>5000+0.14</f>
        <v>5000.14</v>
      </c>
      <c r="P13" s="80">
        <f>O13/O20</f>
        <v>0.016677119592545354</v>
      </c>
      <c r="Q13" s="78">
        <v>5000144.83</v>
      </c>
      <c r="R13" s="82">
        <f t="shared" si="5"/>
        <v>1.6883104023431708</v>
      </c>
    </row>
    <row r="14" spans="1:18" ht="21.75" customHeight="1">
      <c r="A14" s="14" t="s">
        <v>56</v>
      </c>
      <c r="B14" s="84" t="s">
        <v>243</v>
      </c>
      <c r="C14" s="16">
        <v>8436.4</v>
      </c>
      <c r="D14" s="71">
        <f>C14/C20</f>
        <v>0.023968924836151925</v>
      </c>
      <c r="E14" s="98">
        <v>33128.9</v>
      </c>
      <c r="F14" s="229">
        <f>E14/E20</f>
        <v>0.13580707458240912</v>
      </c>
      <c r="G14" s="92">
        <f t="shared" si="0"/>
        <v>41565.3</v>
      </c>
      <c r="H14" s="91">
        <f t="shared" si="2"/>
        <v>6.975058284485344</v>
      </c>
      <c r="I14" s="16">
        <f>6422.9+1032.9</f>
        <v>7455.799999999999</v>
      </c>
      <c r="J14" s="228">
        <f t="shared" si="3"/>
        <v>1.8435410784905697</v>
      </c>
      <c r="K14" s="98">
        <f>42146+1032.4</f>
        <v>43178.4</v>
      </c>
      <c r="L14" s="85">
        <f>K14/K20</f>
        <v>0.16967019183501691</v>
      </c>
      <c r="M14" s="92">
        <f t="shared" si="1"/>
        <v>50634.2</v>
      </c>
      <c r="N14" s="96">
        <f t="shared" si="4"/>
        <v>7.684510462314799</v>
      </c>
      <c r="O14" s="87">
        <f>6875.27+2714.21</f>
        <v>9589.48</v>
      </c>
      <c r="P14" s="80">
        <f>O14/O20</f>
        <v>0.031984085403673056</v>
      </c>
      <c r="Q14" s="78">
        <f>2418665.7+28018+1600000+3000000</f>
        <v>7046683.7</v>
      </c>
      <c r="R14" s="82">
        <f t="shared" si="5"/>
        <v>2.379328958903789</v>
      </c>
    </row>
    <row r="15" spans="1:18" ht="30.75">
      <c r="A15" s="14" t="s">
        <v>59</v>
      </c>
      <c r="B15" s="84" t="s">
        <v>75</v>
      </c>
      <c r="C15" s="358">
        <v>11005.1</v>
      </c>
      <c r="D15" s="360">
        <f>C15/C20</f>
        <v>0.03126694024872405</v>
      </c>
      <c r="E15" s="362">
        <v>54.2</v>
      </c>
      <c r="F15" s="364">
        <f>E15/E20</f>
        <v>0.00022218496365308157</v>
      </c>
      <c r="G15" s="366">
        <f t="shared" si="0"/>
        <v>11059.300000000001</v>
      </c>
      <c r="H15" s="368">
        <f t="shared" si="2"/>
        <v>1.8558572194982055</v>
      </c>
      <c r="I15" s="222">
        <v>0.4</v>
      </c>
      <c r="J15" s="228">
        <f t="shared" si="3"/>
        <v>9.890507140698893E-05</v>
      </c>
      <c r="K15" s="223">
        <f>5.7+28</f>
        <v>33.7</v>
      </c>
      <c r="L15" s="224">
        <f>K15/K20</f>
        <v>0.00013242467217034607</v>
      </c>
      <c r="M15" s="225">
        <f t="shared" si="1"/>
        <v>34.1</v>
      </c>
      <c r="N15" s="227">
        <f t="shared" si="4"/>
        <v>0.0051751939749207975</v>
      </c>
      <c r="O15" s="87">
        <v>0</v>
      </c>
      <c r="P15" s="80">
        <f>O15/O20</f>
        <v>0</v>
      </c>
      <c r="Q15" s="78">
        <v>0</v>
      </c>
      <c r="R15" s="82">
        <f t="shared" si="5"/>
        <v>0</v>
      </c>
    </row>
    <row r="16" spans="1:18" ht="32.25" customHeight="1">
      <c r="A16" s="14"/>
      <c r="B16" s="84" t="s">
        <v>242</v>
      </c>
      <c r="C16" s="359"/>
      <c r="D16" s="361"/>
      <c r="E16" s="363"/>
      <c r="F16" s="365"/>
      <c r="G16" s="367"/>
      <c r="H16" s="369"/>
      <c r="I16" s="222">
        <v>16859</v>
      </c>
      <c r="J16" s="228">
        <f t="shared" si="3"/>
        <v>4.168601497126065</v>
      </c>
      <c r="K16" s="223">
        <v>0</v>
      </c>
      <c r="L16" s="224">
        <v>0</v>
      </c>
      <c r="M16" s="225">
        <f t="shared" si="1"/>
        <v>16859</v>
      </c>
      <c r="N16" s="226">
        <f t="shared" si="4"/>
        <v>2.558609830592074</v>
      </c>
      <c r="O16" s="87"/>
      <c r="P16" s="80"/>
      <c r="Q16" s="78"/>
      <c r="R16" s="82"/>
    </row>
    <row r="17" spans="1:18" ht="50.25" customHeight="1">
      <c r="A17" s="14" t="s">
        <v>61</v>
      </c>
      <c r="B17" s="84" t="s">
        <v>239</v>
      </c>
      <c r="C17" s="16">
        <v>6463.7</v>
      </c>
      <c r="D17" s="71">
        <f>C17/C20</f>
        <v>0.018364224013019202</v>
      </c>
      <c r="E17" s="98">
        <v>1392.4</v>
      </c>
      <c r="F17" s="229">
        <f>E17/E20</f>
        <v>0.005707939914954811</v>
      </c>
      <c r="G17" s="90">
        <f t="shared" si="0"/>
        <v>7856.1</v>
      </c>
      <c r="H17" s="91">
        <f t="shared" si="2"/>
        <v>1.3183293609993265</v>
      </c>
      <c r="I17" s="16">
        <f>7483.7+894.5</f>
        <v>8378.2</v>
      </c>
      <c r="J17" s="228">
        <f t="shared" si="3"/>
        <v>2.071616173155087</v>
      </c>
      <c r="K17" s="98">
        <f>2588.5+28.2</f>
        <v>2616.7</v>
      </c>
      <c r="L17" s="85">
        <f>K17/K20</f>
        <v>0.01028236319490043</v>
      </c>
      <c r="M17" s="90">
        <f t="shared" si="1"/>
        <v>10994.900000000001</v>
      </c>
      <c r="N17" s="96">
        <f t="shared" si="4"/>
        <v>1.6686434086468238</v>
      </c>
      <c r="O17" s="87">
        <f>5728.84+859.52</f>
        <v>6588.360000000001</v>
      </c>
      <c r="P17" s="80">
        <f>O17/O20</f>
        <v>0.021974358245717543</v>
      </c>
      <c r="Q17" s="78">
        <f>1342093+1643200</f>
        <v>2985293</v>
      </c>
      <c r="R17" s="82">
        <f t="shared" si="5"/>
        <v>1.007991047719762</v>
      </c>
    </row>
    <row r="18" spans="1:18" ht="30.75">
      <c r="A18" s="14" t="s">
        <v>76</v>
      </c>
      <c r="B18" s="84" t="s">
        <v>77</v>
      </c>
      <c r="C18" s="16">
        <v>5958.1</v>
      </c>
      <c r="D18" s="71">
        <f>C18/C20</f>
        <v>0.016927747743857188</v>
      </c>
      <c r="E18" s="98">
        <v>18568.2</v>
      </c>
      <c r="F18" s="229">
        <f>E18/E20</f>
        <v>0.07611761701297323</v>
      </c>
      <c r="G18" s="90">
        <f t="shared" si="0"/>
        <v>24526.300000000003</v>
      </c>
      <c r="H18" s="91">
        <f t="shared" si="2"/>
        <v>4.115749723995085</v>
      </c>
      <c r="I18" s="16">
        <f>8735.4+208.3</f>
        <v>8943.699999999999</v>
      </c>
      <c r="J18" s="228">
        <f t="shared" si="3"/>
        <v>2.2114432178567167</v>
      </c>
      <c r="K18" s="98">
        <f>25209+1260.4</f>
        <v>26469.4</v>
      </c>
      <c r="L18" s="85">
        <f>K18/K20</f>
        <v>0.10401191743459223</v>
      </c>
      <c r="M18" s="90">
        <f t="shared" si="1"/>
        <v>35413.1</v>
      </c>
      <c r="N18" s="96">
        <f t="shared" si="4"/>
        <v>5.37447688426005</v>
      </c>
      <c r="O18" s="87">
        <f>11728.76+378.17</f>
        <v>12106.93</v>
      </c>
      <c r="P18" s="80">
        <f>O18/O20</f>
        <v>0.04038061324454418</v>
      </c>
      <c r="Q18" s="78">
        <v>9849273.25</v>
      </c>
      <c r="R18" s="82">
        <f t="shared" si="5"/>
        <v>3.325629766507249</v>
      </c>
    </row>
    <row r="19" spans="1:18" ht="21" customHeight="1">
      <c r="A19" s="14" t="s">
        <v>78</v>
      </c>
      <c r="B19" s="84" t="s">
        <v>79</v>
      </c>
      <c r="C19" s="16">
        <v>98195.7</v>
      </c>
      <c r="D19" s="71">
        <f>C19/C20</f>
        <v>0.27898693192988994</v>
      </c>
      <c r="E19" s="98">
        <v>6108.2</v>
      </c>
      <c r="F19" s="229">
        <f>E19/E20</f>
        <v>0.025039671494202078</v>
      </c>
      <c r="G19" s="90">
        <f t="shared" si="0"/>
        <v>104303.9</v>
      </c>
      <c r="H19" s="91">
        <f t="shared" si="2"/>
        <v>17.503200549475903</v>
      </c>
      <c r="I19" s="16">
        <f>13643.6+125.7+86973.1+12515.1</f>
        <v>113257.50000000001</v>
      </c>
      <c r="J19" s="228">
        <f t="shared" si="3"/>
        <v>28.004352812192625</v>
      </c>
      <c r="K19" s="98">
        <f>2833.6+208.5</f>
        <v>3042.1</v>
      </c>
      <c r="L19" s="85">
        <f>K19/K20</f>
        <v>0.011953979086332634</v>
      </c>
      <c r="M19" s="90">
        <f t="shared" si="1"/>
        <v>116299.60000000002</v>
      </c>
      <c r="N19" s="96">
        <f t="shared" si="4"/>
        <v>17.65023428755715</v>
      </c>
      <c r="O19" s="87">
        <f>10434.55+214.43</f>
        <v>10648.98</v>
      </c>
      <c r="P19" s="80">
        <f>O19/O20</f>
        <v>0.03551786809941794</v>
      </c>
      <c r="Q19" s="78">
        <f>5665200+4635700+143100+89324.2</f>
        <v>10533324.2</v>
      </c>
      <c r="R19" s="82">
        <f t="shared" si="5"/>
        <v>3.5566011431138995</v>
      </c>
    </row>
    <row r="20" spans="1:18" ht="16.5" thickBot="1">
      <c r="A20" s="14"/>
      <c r="B20" s="143" t="s">
        <v>80</v>
      </c>
      <c r="C20" s="144">
        <f>SUM(C6:C19)</f>
        <v>351972.4</v>
      </c>
      <c r="D20" s="145">
        <f>SUM(D6:D19)</f>
        <v>0.9999999999999998</v>
      </c>
      <c r="E20" s="146">
        <f>SUM(E6:E19)</f>
        <v>243940.9</v>
      </c>
      <c r="F20" s="230">
        <f>SUM(F6:F19)</f>
        <v>51.97332673610698</v>
      </c>
      <c r="G20" s="93">
        <f>SUM(G6:G19)</f>
        <v>595913.2999999999</v>
      </c>
      <c r="H20" s="94">
        <f t="shared" si="2"/>
        <v>99.99999999999999</v>
      </c>
      <c r="I20" s="144">
        <f>I6+I7+I8+I9+I10+I11+I12+I13+I14+I15+I17+I18+I19</f>
        <v>404428.2</v>
      </c>
      <c r="J20" s="228">
        <f t="shared" si="3"/>
        <v>100</v>
      </c>
      <c r="K20" s="146">
        <f>SUM(K6:K19)</f>
        <v>254484.30000000002</v>
      </c>
      <c r="L20" s="147">
        <f>SUM(L6:L19)</f>
        <v>1</v>
      </c>
      <c r="M20" s="93">
        <f>M6+M7+M8+M9+M10+M11+M12+M13+M14+M15+M17+M18+M19</f>
        <v>658912.4999999999</v>
      </c>
      <c r="N20" s="97">
        <f>M20*100/658912.5</f>
        <v>99.99999999999997</v>
      </c>
      <c r="O20" s="95">
        <f>SUM(O6:O19)</f>
        <v>299820.3599999999</v>
      </c>
      <c r="P20" s="81">
        <f>SUM(P6:P19)</f>
        <v>1.0000000000000004</v>
      </c>
      <c r="Q20" s="79">
        <f>SUM(Q6:Q19)</f>
        <v>288153924.46999997</v>
      </c>
      <c r="R20" s="83">
        <f t="shared" si="5"/>
        <v>97.2958353605748</v>
      </c>
    </row>
    <row r="22" spans="1:15" ht="12.75">
      <c r="A22" s="197" t="s">
        <v>240</v>
      </c>
      <c r="B22" s="370" t="s">
        <v>241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15"/>
    </row>
    <row r="24" spans="2:12" ht="12.75">
      <c r="B24" t="s">
        <v>187</v>
      </c>
      <c r="J24" s="350" t="s">
        <v>188</v>
      </c>
      <c r="K24" s="350"/>
      <c r="L24" s="350"/>
    </row>
  </sheetData>
  <sheetProtection/>
  <mergeCells count="14">
    <mergeCell ref="G15:G16"/>
    <mergeCell ref="H15:H16"/>
    <mergeCell ref="B22:N22"/>
    <mergeCell ref="Q4:R4"/>
    <mergeCell ref="J24:L24"/>
    <mergeCell ref="A1:G1"/>
    <mergeCell ref="O4:P4"/>
    <mergeCell ref="I4:N4"/>
    <mergeCell ref="C4:H4"/>
    <mergeCell ref="B2:C2"/>
    <mergeCell ref="C15:C16"/>
    <mergeCell ref="D15:D16"/>
    <mergeCell ref="E15:E16"/>
    <mergeCell ref="F15:F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0" zoomScaleNormal="70" zoomScalePageLayoutView="0" workbookViewId="0" topLeftCell="A1">
      <selection activeCell="G23" sqref="G23"/>
    </sheetView>
  </sheetViews>
  <sheetFormatPr defaultColWidth="9.00390625" defaultRowHeight="12.75"/>
  <cols>
    <col min="1" max="1" width="54.25390625" style="0" customWidth="1"/>
    <col min="2" max="2" width="15.375" style="0" customWidth="1"/>
    <col min="3" max="3" width="14.875" style="0" customWidth="1"/>
    <col min="4" max="4" width="15.125" style="0" customWidth="1"/>
    <col min="5" max="5" width="14.625" style="0" customWidth="1"/>
    <col min="6" max="6" width="15.125" style="0" customWidth="1"/>
    <col min="7" max="7" width="13.375" style="0" customWidth="1"/>
    <col min="8" max="8" width="16.125" style="0" customWidth="1"/>
    <col min="9" max="9" width="12.25390625" style="0" customWidth="1"/>
    <col min="10" max="10" width="11.625" style="0" customWidth="1"/>
    <col min="11" max="11" width="10.625" style="0" customWidth="1"/>
    <col min="12" max="12" width="13.25390625" style="0" customWidth="1"/>
  </cols>
  <sheetData>
    <row r="1" spans="1:4" ht="15">
      <c r="A1" s="371" t="s">
        <v>190</v>
      </c>
      <c r="B1" s="371"/>
      <c r="C1" s="371"/>
      <c r="D1" s="371"/>
    </row>
    <row r="2" spans="1:8" ht="13.5" customHeight="1">
      <c r="A2" s="18"/>
      <c r="B2" s="18"/>
      <c r="C2" s="18"/>
      <c r="D2" s="18"/>
      <c r="H2" t="s">
        <v>143</v>
      </c>
    </row>
    <row r="3" ht="36.75" customHeight="1" thickBot="1"/>
    <row r="4" spans="1:8" ht="14.25">
      <c r="A4" s="191"/>
      <c r="B4" s="372" t="s">
        <v>2</v>
      </c>
      <c r="C4" s="374"/>
      <c r="D4" s="372" t="s">
        <v>3</v>
      </c>
      <c r="E4" s="373"/>
      <c r="F4" s="372" t="s">
        <v>183</v>
      </c>
      <c r="G4" s="373"/>
      <c r="H4" s="196"/>
    </row>
    <row r="5" spans="1:8" ht="45.75" customHeight="1">
      <c r="A5" s="192" t="s">
        <v>25</v>
      </c>
      <c r="B5" s="182" t="s">
        <v>155</v>
      </c>
      <c r="C5" s="183" t="s">
        <v>26</v>
      </c>
      <c r="D5" s="182" t="s">
        <v>155</v>
      </c>
      <c r="E5" s="183" t="s">
        <v>26</v>
      </c>
      <c r="F5" s="182" t="s">
        <v>155</v>
      </c>
      <c r="G5" s="183" t="s">
        <v>26</v>
      </c>
      <c r="H5" s="183" t="s">
        <v>191</v>
      </c>
    </row>
    <row r="6" spans="1:8" ht="15">
      <c r="A6" s="193" t="s">
        <v>27</v>
      </c>
      <c r="B6" s="184">
        <v>80028.6</v>
      </c>
      <c r="C6" s="185">
        <f>B6/B20</f>
        <v>0.2761722947720634</v>
      </c>
      <c r="D6" s="184">
        <v>78240.8</v>
      </c>
      <c r="E6" s="185">
        <f>D6/D20</f>
        <v>0.2770965928871477</v>
      </c>
      <c r="F6" s="184">
        <v>86805</v>
      </c>
      <c r="G6" s="185">
        <f>F6/F20</f>
        <v>0.27903958051322963</v>
      </c>
      <c r="H6" s="190">
        <f>F6-D6</f>
        <v>8564.199999999997</v>
      </c>
    </row>
    <row r="7" spans="1:8" ht="16.5" customHeight="1">
      <c r="A7" s="193" t="s">
        <v>28</v>
      </c>
      <c r="B7" s="184">
        <v>88155.2</v>
      </c>
      <c r="C7" s="185">
        <f>B7/B20</f>
        <v>0.30421654108768864</v>
      </c>
      <c r="D7" s="184">
        <v>82714</v>
      </c>
      <c r="E7" s="185">
        <f>D7/D20</f>
        <v>0.2929388194403372</v>
      </c>
      <c r="F7" s="184">
        <v>88067.2</v>
      </c>
      <c r="G7" s="185">
        <f>F7/F20</f>
        <v>0.2830969937788687</v>
      </c>
      <c r="H7" s="190">
        <f aca="true" t="shared" si="0" ref="H7:H20">F7-D7</f>
        <v>5353.199999999997</v>
      </c>
    </row>
    <row r="8" spans="1:8" ht="15.75" customHeight="1">
      <c r="A8" s="193" t="s">
        <v>29</v>
      </c>
      <c r="B8" s="184">
        <v>27304.1</v>
      </c>
      <c r="C8" s="185">
        <f>B8/B20</f>
        <v>0.09422426424660552</v>
      </c>
      <c r="D8" s="184">
        <v>33202.1</v>
      </c>
      <c r="E8" s="185">
        <f>D8/D20</f>
        <v>0.11758812265082114</v>
      </c>
      <c r="F8" s="184">
        <v>29718</v>
      </c>
      <c r="G8" s="185">
        <f>F8/F20</f>
        <v>0.09553019127575783</v>
      </c>
      <c r="H8" s="190">
        <f t="shared" si="0"/>
        <v>-3484.0999999999985</v>
      </c>
    </row>
    <row r="9" spans="1:8" ht="16.5" customHeight="1">
      <c r="A9" s="193" t="s">
        <v>30</v>
      </c>
      <c r="B9" s="184">
        <v>7861</v>
      </c>
      <c r="C9" s="185">
        <f>B9/B20</f>
        <v>0.02712768196873605</v>
      </c>
      <c r="D9" s="184">
        <v>7565.1</v>
      </c>
      <c r="E9" s="185">
        <f>D9/D20</f>
        <v>0.026792459111493763</v>
      </c>
      <c r="F9" s="184">
        <v>6845.5</v>
      </c>
      <c r="G9" s="185">
        <f>F9/F20</f>
        <v>0.022005246799185686</v>
      </c>
      <c r="H9" s="190">
        <f t="shared" si="0"/>
        <v>-719.6000000000004</v>
      </c>
    </row>
    <row r="10" spans="1:8" ht="43.5">
      <c r="A10" s="193" t="s">
        <v>157</v>
      </c>
      <c r="B10" s="184">
        <v>2922.9</v>
      </c>
      <c r="C10" s="185">
        <f>B10/B20</f>
        <v>0.010086694011756598</v>
      </c>
      <c r="D10" s="184">
        <v>2900</v>
      </c>
      <c r="E10" s="185">
        <f>D10/D20</f>
        <v>0.010270602030816764</v>
      </c>
      <c r="F10" s="184">
        <v>3339.5</v>
      </c>
      <c r="G10" s="185">
        <f>F10/F20</f>
        <v>0.01073501156758171</v>
      </c>
      <c r="H10" s="190">
        <f t="shared" si="0"/>
        <v>439.5</v>
      </c>
    </row>
    <row r="11" spans="1:8" ht="29.25">
      <c r="A11" s="194" t="s">
        <v>31</v>
      </c>
      <c r="B11" s="184">
        <v>6418.8</v>
      </c>
      <c r="C11" s="185">
        <f>B11/B20</f>
        <v>0.02215076517248734</v>
      </c>
      <c r="D11" s="184">
        <v>6541.7</v>
      </c>
      <c r="E11" s="185">
        <f>D11/D20</f>
        <v>0.023167999070687596</v>
      </c>
      <c r="F11" s="184">
        <v>6781</v>
      </c>
      <c r="G11" s="185">
        <f>F11/F20</f>
        <v>0.021797907902312195</v>
      </c>
      <c r="H11" s="190">
        <f t="shared" si="0"/>
        <v>239.30000000000018</v>
      </c>
    </row>
    <row r="12" spans="1:8" ht="15">
      <c r="A12" s="194" t="s">
        <v>32</v>
      </c>
      <c r="B12" s="184">
        <v>31568.6</v>
      </c>
      <c r="C12" s="185">
        <f>B12/B20</f>
        <v>0.10894071250454661</v>
      </c>
      <c r="D12" s="184">
        <v>31814.9</v>
      </c>
      <c r="E12" s="185">
        <f>D12/D20</f>
        <v>0.11267523329318355</v>
      </c>
      <c r="F12" s="184">
        <v>29837.6</v>
      </c>
      <c r="G12" s="185">
        <f>F12/F20</f>
        <v>0.09591465223802247</v>
      </c>
      <c r="H12" s="190">
        <f t="shared" si="0"/>
        <v>-1977.300000000003</v>
      </c>
    </row>
    <row r="13" spans="1:8" ht="18" customHeight="1">
      <c r="A13" s="193" t="s">
        <v>33</v>
      </c>
      <c r="B13" s="184">
        <v>40550</v>
      </c>
      <c r="C13" s="185">
        <f>B13/B20</f>
        <v>0.13993480521972357</v>
      </c>
      <c r="D13" s="184">
        <v>34747.4</v>
      </c>
      <c r="E13" s="185">
        <f>D13/D20</f>
        <v>0.1230609368984836</v>
      </c>
      <c r="F13" s="184">
        <v>29297.5</v>
      </c>
      <c r="G13" s="185">
        <f>F13/F20</f>
        <v>0.09417847025040431</v>
      </c>
      <c r="H13" s="190">
        <f t="shared" si="0"/>
        <v>-5449.9000000000015</v>
      </c>
    </row>
    <row r="14" spans="1:8" ht="43.5">
      <c r="A14" s="193" t="s">
        <v>34</v>
      </c>
      <c r="B14" s="184">
        <v>352.9</v>
      </c>
      <c r="C14" s="185">
        <f>B14/B20</f>
        <v>0.001217829661209382</v>
      </c>
      <c r="D14" s="184">
        <v>456.7</v>
      </c>
      <c r="E14" s="185">
        <f>D14/D20</f>
        <v>0.0016174427405082814</v>
      </c>
      <c r="F14" s="184">
        <v>381.3</v>
      </c>
      <c r="G14" s="185">
        <f>F14/F20</f>
        <v>0.0012257104089590976</v>
      </c>
      <c r="H14" s="190">
        <f t="shared" si="0"/>
        <v>-75.39999999999998</v>
      </c>
    </row>
    <row r="15" spans="1:8" ht="29.25" customHeight="1">
      <c r="A15" s="193" t="s">
        <v>156</v>
      </c>
      <c r="B15" s="184">
        <v>1575.3</v>
      </c>
      <c r="C15" s="185">
        <f>B15/B20</f>
        <v>0.005436234245687559</v>
      </c>
      <c r="D15" s="184">
        <v>2024.1</v>
      </c>
      <c r="E15" s="185">
        <f>D15/D20</f>
        <v>0.007168526058819384</v>
      </c>
      <c r="F15" s="184">
        <v>3545.3</v>
      </c>
      <c r="G15" s="185">
        <f>F15/F20</f>
        <v>0.011396567303652475</v>
      </c>
      <c r="H15" s="190">
        <f t="shared" si="0"/>
        <v>1521.2000000000003</v>
      </c>
    </row>
    <row r="16" spans="1:8" ht="29.25">
      <c r="A16" s="193" t="s">
        <v>35</v>
      </c>
      <c r="B16" s="184">
        <v>1030.1</v>
      </c>
      <c r="C16" s="185">
        <f>B16/B20</f>
        <v>0.0035547926721784767</v>
      </c>
      <c r="D16" s="184">
        <v>1241.8</v>
      </c>
      <c r="E16" s="185">
        <f>D16/D20</f>
        <v>0.004397942621333882</v>
      </c>
      <c r="F16" s="184">
        <v>1158</v>
      </c>
      <c r="G16" s="185">
        <f>F16/F20</f>
        <v>0.0037224564741007997</v>
      </c>
      <c r="H16" s="190">
        <f t="shared" si="0"/>
        <v>-83.79999999999995</v>
      </c>
    </row>
    <row r="17" spans="1:8" ht="29.25">
      <c r="A17" s="193" t="s">
        <v>36</v>
      </c>
      <c r="B17" s="184">
        <v>1989.8</v>
      </c>
      <c r="C17" s="185">
        <f>B17/B20</f>
        <v>0.006866640577711614</v>
      </c>
      <c r="D17" s="184">
        <v>590.2</v>
      </c>
      <c r="E17" s="185">
        <f>D17/D20</f>
        <v>0.0020902445926165706</v>
      </c>
      <c r="F17" s="184">
        <v>437.4</v>
      </c>
      <c r="G17" s="185">
        <f>F17/F20</f>
        <v>0.0014060470308909238</v>
      </c>
      <c r="H17" s="190">
        <f t="shared" si="0"/>
        <v>-152.80000000000007</v>
      </c>
    </row>
    <row r="18" spans="1:8" ht="15">
      <c r="A18" s="193" t="s">
        <v>37</v>
      </c>
      <c r="B18" s="184">
        <v>20.5</v>
      </c>
      <c r="C18" s="185">
        <f>B18/B20</f>
        <v>7.074385960553226E-05</v>
      </c>
      <c r="D18" s="184">
        <v>320.5</v>
      </c>
      <c r="E18" s="185">
        <f>D18/D20</f>
        <v>0.0011350786037506114</v>
      </c>
      <c r="F18" s="184">
        <v>129</v>
      </c>
      <c r="G18" s="185">
        <f>F18/F20</f>
        <v>0.0004146777937469803</v>
      </c>
      <c r="H18" s="190">
        <f t="shared" si="0"/>
        <v>-191.5</v>
      </c>
    </row>
    <row r="19" spans="1:8" ht="18.75" customHeight="1" thickBot="1">
      <c r="A19" s="195" t="s">
        <v>236</v>
      </c>
      <c r="B19" s="99"/>
      <c r="C19" s="186"/>
      <c r="D19" s="99"/>
      <c r="E19" s="186"/>
      <c r="F19" s="99">
        <v>24742.6</v>
      </c>
      <c r="G19" s="185">
        <f>F19/F20</f>
        <v>0.07953648666328708</v>
      </c>
      <c r="H19" s="100"/>
    </row>
    <row r="20" spans="1:8" ht="21.75" customHeight="1" thickBot="1">
      <c r="A20" s="181" t="s">
        <v>21</v>
      </c>
      <c r="B20" s="187">
        <f>SUM(B6:B18)</f>
        <v>289777.79999999993</v>
      </c>
      <c r="C20" s="188">
        <f>SUM(C6:C18)</f>
        <v>1.0000000000000002</v>
      </c>
      <c r="D20" s="189">
        <f>SUM(D6:D18)</f>
        <v>282359.3</v>
      </c>
      <c r="E20" s="188">
        <f>SUM(E6:E18)</f>
        <v>0.9999999999999998</v>
      </c>
      <c r="F20" s="187">
        <f>SUM(F6:F19)</f>
        <v>311084.9</v>
      </c>
      <c r="G20" s="188">
        <f>SUM(G6:G19)</f>
        <v>0.9999999999999998</v>
      </c>
      <c r="H20" s="180">
        <f t="shared" si="0"/>
        <v>28725.600000000035</v>
      </c>
    </row>
    <row r="21" ht="21.75" customHeight="1">
      <c r="A21" s="1"/>
    </row>
    <row r="22" spans="1:7" ht="17.25" customHeight="1">
      <c r="A22" s="68" t="s">
        <v>187</v>
      </c>
      <c r="B22" s="68"/>
      <c r="C22" s="68"/>
      <c r="D22" s="68" t="s">
        <v>188</v>
      </c>
      <c r="E22" s="68"/>
      <c r="F22" s="68"/>
      <c r="G22" s="68"/>
    </row>
    <row r="23" ht="12.75">
      <c r="A23" s="6"/>
    </row>
    <row r="25" ht="30.75" customHeight="1"/>
    <row r="33" s="68" customFormat="1" ht="19.5" customHeight="1"/>
    <row r="34" s="68" customFormat="1" ht="19.5" customHeight="1"/>
    <row r="35" s="68" customFormat="1" ht="19.5" customHeight="1"/>
    <row r="36" s="68" customFormat="1" ht="17.25" customHeight="1"/>
    <row r="37" s="68" customFormat="1" ht="47.25" customHeight="1"/>
    <row r="38" s="68" customFormat="1" ht="56.25" customHeight="1"/>
    <row r="39" s="68" customFormat="1" ht="24.75" customHeight="1"/>
    <row r="40" s="68" customFormat="1" ht="19.5" customHeight="1"/>
    <row r="41" s="68" customFormat="1" ht="46.5" customHeight="1"/>
    <row r="42" s="68" customFormat="1" ht="31.5" customHeight="1"/>
    <row r="43" s="68" customFormat="1" ht="19.5" customHeight="1"/>
    <row r="44" s="68" customFormat="1" ht="31.5" customHeight="1"/>
    <row r="45" s="68" customFormat="1" ht="30" customHeight="1"/>
    <row r="46" s="68" customFormat="1" ht="34.5" customHeight="1"/>
    <row r="47" s="68" customFormat="1" ht="19.5" customHeight="1"/>
  </sheetData>
  <sheetProtection/>
  <mergeCells count="4">
    <mergeCell ref="A1:D1"/>
    <mergeCell ref="F4:G4"/>
    <mergeCell ref="B4:C4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70" zoomScaleNormal="70" zoomScalePageLayoutView="0" workbookViewId="0" topLeftCell="A1">
      <selection activeCell="B22" sqref="B22"/>
    </sheetView>
  </sheetViews>
  <sheetFormatPr defaultColWidth="9.00390625" defaultRowHeight="12.75"/>
  <cols>
    <col min="1" max="1" width="37.875" style="0" customWidth="1"/>
    <col min="2" max="2" width="16.25390625" style="0" customWidth="1"/>
    <col min="3" max="3" width="22.375" style="0" customWidth="1"/>
    <col min="4" max="4" width="13.125" style="0" customWidth="1"/>
    <col min="5" max="5" width="15.625" style="0" customWidth="1"/>
    <col min="6" max="6" width="21.75390625" style="0" customWidth="1"/>
    <col min="7" max="7" width="15.875" style="0" customWidth="1"/>
    <col min="8" max="8" width="12.375" style="0" customWidth="1"/>
  </cols>
  <sheetData>
    <row r="1" spans="1:7" ht="15.75">
      <c r="A1" s="375" t="s">
        <v>0</v>
      </c>
      <c r="B1" s="375"/>
      <c r="C1" s="375"/>
      <c r="D1" s="375"/>
      <c r="E1" s="375"/>
      <c r="F1" s="375"/>
      <c r="G1" s="375"/>
    </row>
    <row r="2" spans="1:7" ht="15.75">
      <c r="A2" s="17"/>
      <c r="B2" s="17"/>
      <c r="C2" s="17"/>
      <c r="D2" s="17"/>
      <c r="E2" s="17"/>
      <c r="F2" s="17"/>
      <c r="G2" s="17" t="s">
        <v>135</v>
      </c>
    </row>
    <row r="3" spans="1:8" ht="12.75">
      <c r="A3" s="2"/>
      <c r="B3" s="376" t="s">
        <v>3</v>
      </c>
      <c r="C3" s="376"/>
      <c r="D3" s="376"/>
      <c r="E3" s="376" t="s">
        <v>183</v>
      </c>
      <c r="F3" s="376"/>
      <c r="G3" s="376"/>
      <c r="H3" s="2" t="s">
        <v>22</v>
      </c>
    </row>
    <row r="4" spans="1:8" ht="38.25">
      <c r="A4" s="2" t="s">
        <v>1</v>
      </c>
      <c r="B4" s="60" t="s">
        <v>4</v>
      </c>
      <c r="C4" s="60" t="s">
        <v>5</v>
      </c>
      <c r="D4" s="60" t="s">
        <v>6</v>
      </c>
      <c r="E4" s="60" t="s">
        <v>4</v>
      </c>
      <c r="F4" s="60" t="s">
        <v>5</v>
      </c>
      <c r="G4" s="60" t="s">
        <v>6</v>
      </c>
      <c r="H4" s="60" t="s">
        <v>154</v>
      </c>
    </row>
    <row r="5" spans="1:8" ht="15.75">
      <c r="A5" s="4" t="s">
        <v>7</v>
      </c>
      <c r="B5" s="72">
        <v>1</v>
      </c>
      <c r="C5" s="72">
        <v>73.4</v>
      </c>
      <c r="D5" s="73">
        <f>C5/87268.1</f>
        <v>0.0008410862617611705</v>
      </c>
      <c r="E5" s="72">
        <v>1</v>
      </c>
      <c r="F5" s="72">
        <v>43</v>
      </c>
      <c r="G5" s="73">
        <f>F5/103842.55</f>
        <v>0.0004140884444767583</v>
      </c>
      <c r="H5" s="74">
        <f>F5-C5</f>
        <v>-30.400000000000006</v>
      </c>
    </row>
    <row r="6" spans="1:8" ht="15.75">
      <c r="A6" s="4" t="s">
        <v>8</v>
      </c>
      <c r="B6" s="72">
        <v>2</v>
      </c>
      <c r="C6" s="72">
        <v>56.3</v>
      </c>
      <c r="D6" s="73">
        <f aca="true" t="shared" si="0" ref="D6:D18">C6/87268.1</f>
        <v>0.0006451383724407887</v>
      </c>
      <c r="E6" s="72">
        <v>1</v>
      </c>
      <c r="F6" s="74">
        <v>18.22</v>
      </c>
      <c r="G6" s="73">
        <f aca="true" t="shared" si="1" ref="G6:G20">F6/103842.55</f>
        <v>0.000175457940892245</v>
      </c>
      <c r="H6" s="74">
        <f aca="true" t="shared" si="2" ref="H6:H20">F6-C6</f>
        <v>-38.08</v>
      </c>
    </row>
    <row r="7" spans="1:8" ht="15.75">
      <c r="A7" s="4" t="s">
        <v>9</v>
      </c>
      <c r="B7" s="72">
        <v>1648</v>
      </c>
      <c r="C7" s="72">
        <v>34767</v>
      </c>
      <c r="D7" s="73">
        <f t="shared" si="0"/>
        <v>0.39839299812875495</v>
      </c>
      <c r="E7" s="72">
        <v>1755</v>
      </c>
      <c r="F7" s="74">
        <f>32687-10.54</f>
        <v>32676.46</v>
      </c>
      <c r="G7" s="73">
        <f t="shared" si="1"/>
        <v>0.3146731277303957</v>
      </c>
      <c r="H7" s="74">
        <f t="shared" si="2"/>
        <v>-2090.540000000001</v>
      </c>
    </row>
    <row r="8" spans="1:8" ht="15.75">
      <c r="A8" s="4" t="s">
        <v>10</v>
      </c>
      <c r="B8" s="72">
        <v>600</v>
      </c>
      <c r="C8" s="72">
        <v>19967.2</v>
      </c>
      <c r="D8" s="73">
        <f t="shared" si="0"/>
        <v>0.22880296465718858</v>
      </c>
      <c r="E8" s="72">
        <v>490</v>
      </c>
      <c r="F8" s="74">
        <v>16837.02</v>
      </c>
      <c r="G8" s="73">
        <f t="shared" si="1"/>
        <v>0.16213989352149</v>
      </c>
      <c r="H8" s="74">
        <f t="shared" si="2"/>
        <v>-3130.1800000000003</v>
      </c>
    </row>
    <row r="9" spans="1:8" ht="24.75">
      <c r="A9" s="5" t="s">
        <v>11</v>
      </c>
      <c r="B9" s="72">
        <v>499</v>
      </c>
      <c r="C9" s="72">
        <v>13545.7</v>
      </c>
      <c r="D9" s="73">
        <f t="shared" si="0"/>
        <v>0.15521937569398211</v>
      </c>
      <c r="E9" s="72">
        <v>473</v>
      </c>
      <c r="F9" s="74">
        <v>16342.8</v>
      </c>
      <c r="G9" s="73">
        <f t="shared" si="1"/>
        <v>0.15738057279987827</v>
      </c>
      <c r="H9" s="74">
        <f t="shared" si="2"/>
        <v>2797.0999999999985</v>
      </c>
    </row>
    <row r="10" spans="1:8" ht="15.75">
      <c r="A10" s="4" t="s">
        <v>12</v>
      </c>
      <c r="B10" s="72">
        <v>97</v>
      </c>
      <c r="C10" s="72">
        <v>2449.2</v>
      </c>
      <c r="D10" s="73">
        <f t="shared" si="0"/>
        <v>0.028065238042308698</v>
      </c>
      <c r="E10" s="72">
        <v>86</v>
      </c>
      <c r="F10" s="74">
        <v>3304.8</v>
      </c>
      <c r="G10" s="73">
        <f t="shared" si="1"/>
        <v>0.03182510444899514</v>
      </c>
      <c r="H10" s="74">
        <f t="shared" si="2"/>
        <v>855.6000000000004</v>
      </c>
    </row>
    <row r="11" spans="1:8" ht="15.75">
      <c r="A11" s="4" t="s">
        <v>13</v>
      </c>
      <c r="B11" s="72">
        <v>7</v>
      </c>
      <c r="C11" s="72">
        <v>322.2</v>
      </c>
      <c r="D11" s="73">
        <f t="shared" si="0"/>
        <v>0.0036920707566682437</v>
      </c>
      <c r="E11" s="72">
        <v>5</v>
      </c>
      <c r="F11" s="72">
        <v>253</v>
      </c>
      <c r="G11" s="73">
        <f t="shared" si="1"/>
        <v>0.0024363808477353456</v>
      </c>
      <c r="H11" s="74">
        <f t="shared" si="2"/>
        <v>-69.19999999999999</v>
      </c>
    </row>
    <row r="12" spans="1:8" ht="75" customHeight="1">
      <c r="A12" s="5" t="s">
        <v>14</v>
      </c>
      <c r="B12" s="72"/>
      <c r="C12" s="72">
        <v>413.2</v>
      </c>
      <c r="D12" s="73">
        <f t="shared" si="0"/>
        <v>0.00473483437819776</v>
      </c>
      <c r="E12" s="72">
        <v>28</v>
      </c>
      <c r="F12" s="72">
        <v>615</v>
      </c>
      <c r="G12" s="73">
        <f t="shared" si="1"/>
        <v>0.005922427752400148</v>
      </c>
      <c r="H12" s="74">
        <f t="shared" si="2"/>
        <v>201.8</v>
      </c>
    </row>
    <row r="13" spans="1:8" ht="24.75">
      <c r="A13" s="5" t="s">
        <v>16</v>
      </c>
      <c r="B13" s="72">
        <v>36</v>
      </c>
      <c r="C13" s="72">
        <v>922.1</v>
      </c>
      <c r="D13" s="73">
        <f t="shared" si="0"/>
        <v>0.010566289400135903</v>
      </c>
      <c r="E13" s="72">
        <v>31</v>
      </c>
      <c r="F13" s="72">
        <v>2758.8</v>
      </c>
      <c r="G13" s="73">
        <f t="shared" si="1"/>
        <v>0.02656714420052281</v>
      </c>
      <c r="H13" s="74">
        <f t="shared" si="2"/>
        <v>1836.7000000000003</v>
      </c>
    </row>
    <row r="14" spans="1:8" ht="36.75">
      <c r="A14" s="5" t="s">
        <v>17</v>
      </c>
      <c r="B14" s="72">
        <v>28</v>
      </c>
      <c r="C14" s="74">
        <v>1108</v>
      </c>
      <c r="D14" s="73">
        <f t="shared" si="0"/>
        <v>0.012696506512689058</v>
      </c>
      <c r="E14" s="72">
        <v>27</v>
      </c>
      <c r="F14" s="72">
        <v>3099.1</v>
      </c>
      <c r="G14" s="73">
        <f t="shared" si="1"/>
        <v>0.029844220890184223</v>
      </c>
      <c r="H14" s="74">
        <f t="shared" si="2"/>
        <v>1991.1</v>
      </c>
    </row>
    <row r="15" spans="1:8" ht="24.75">
      <c r="A15" s="5" t="s">
        <v>18</v>
      </c>
      <c r="B15" s="72">
        <v>74</v>
      </c>
      <c r="C15" s="74">
        <v>1726</v>
      </c>
      <c r="D15" s="73">
        <f t="shared" si="0"/>
        <v>0.019778131986373026</v>
      </c>
      <c r="E15" s="72">
        <v>60</v>
      </c>
      <c r="F15" s="72">
        <v>4910.5</v>
      </c>
      <c r="G15" s="73">
        <f t="shared" si="1"/>
        <v>0.0472879373628633</v>
      </c>
      <c r="H15" s="74">
        <f t="shared" si="2"/>
        <v>3184.5</v>
      </c>
    </row>
    <row r="16" spans="1:8" ht="36.75">
      <c r="A16" s="5" t="s">
        <v>19</v>
      </c>
      <c r="B16" s="72">
        <v>33</v>
      </c>
      <c r="C16" s="74">
        <v>760</v>
      </c>
      <c r="D16" s="73">
        <f t="shared" si="0"/>
        <v>0.008708795080905852</v>
      </c>
      <c r="E16" s="72">
        <v>28</v>
      </c>
      <c r="F16" s="72">
        <v>2281.4</v>
      </c>
      <c r="G16" s="73">
        <f t="shared" si="1"/>
        <v>0.02196979947044829</v>
      </c>
      <c r="H16" s="74">
        <f t="shared" si="2"/>
        <v>1521.4</v>
      </c>
    </row>
    <row r="17" spans="1:8" ht="24.75">
      <c r="A17" s="5" t="s">
        <v>20</v>
      </c>
      <c r="B17" s="72">
        <v>7</v>
      </c>
      <c r="C17" s="74">
        <v>162</v>
      </c>
      <c r="D17" s="73">
        <f t="shared" si="0"/>
        <v>0.0018563484251404578</v>
      </c>
      <c r="E17" s="72">
        <v>12</v>
      </c>
      <c r="F17" s="72">
        <v>1008.9</v>
      </c>
      <c r="G17" s="73">
        <f t="shared" si="1"/>
        <v>0.009715670503083754</v>
      </c>
      <c r="H17" s="74">
        <f t="shared" si="2"/>
        <v>846.9</v>
      </c>
    </row>
    <row r="18" spans="1:8" ht="15.75">
      <c r="A18" s="5" t="s">
        <v>23</v>
      </c>
      <c r="B18" s="72"/>
      <c r="C18" s="72"/>
      <c r="D18" s="73">
        <f t="shared" si="0"/>
        <v>0</v>
      </c>
      <c r="E18" s="72">
        <v>3</v>
      </c>
      <c r="F18" s="72">
        <v>2824</v>
      </c>
      <c r="G18" s="73">
        <f t="shared" si="1"/>
        <v>0.027195017841915477</v>
      </c>
      <c r="H18" s="74">
        <f t="shared" si="2"/>
        <v>2824</v>
      </c>
    </row>
    <row r="19" spans="1:8" ht="15.75">
      <c r="A19" s="5" t="s">
        <v>202</v>
      </c>
      <c r="B19" s="72">
        <v>178</v>
      </c>
      <c r="C19" s="74">
        <f>C13+C14+C15+C16+C17</f>
        <v>4678.1</v>
      </c>
      <c r="D19" s="73">
        <f>C19/87268.1</f>
        <v>0.0536060714052443</v>
      </c>
      <c r="E19" s="72">
        <f>E13+E14+E15+E16+E17+E18</f>
        <v>161</v>
      </c>
      <c r="F19" s="72">
        <f>F13+F14+F15+F16+F17+F18</f>
        <v>16882.699999999997</v>
      </c>
      <c r="G19" s="73">
        <f t="shared" si="1"/>
        <v>0.1625797902690178</v>
      </c>
      <c r="H19" s="74">
        <f t="shared" si="2"/>
        <v>12204.599999999997</v>
      </c>
    </row>
    <row r="20" spans="1:8" ht="15.75">
      <c r="A20" s="70" t="s">
        <v>201</v>
      </c>
      <c r="B20" s="75"/>
      <c r="C20" s="76">
        <f>SUM(C5:C18)</f>
        <v>76272.29999999999</v>
      </c>
      <c r="D20" s="77">
        <f>C20/87268.1</f>
        <v>0.8739997776965465</v>
      </c>
      <c r="E20" s="75"/>
      <c r="F20" s="75">
        <f>SUM(F5:F18)</f>
        <v>86973</v>
      </c>
      <c r="G20" s="73">
        <f t="shared" si="1"/>
        <v>0.8375468437552814</v>
      </c>
      <c r="H20" s="74">
        <f t="shared" si="2"/>
        <v>10700.700000000012</v>
      </c>
    </row>
    <row r="21" spans="1:8" ht="48.75" customHeight="1">
      <c r="A21" s="5" t="s">
        <v>15</v>
      </c>
      <c r="B21" s="72">
        <v>102</v>
      </c>
      <c r="C21" s="72">
        <v>10995.8</v>
      </c>
      <c r="D21" s="73">
        <f>C21/87268.1</f>
        <v>0.12600022230345337</v>
      </c>
      <c r="E21" s="72">
        <v>148</v>
      </c>
      <c r="F21" s="72">
        <v>16859</v>
      </c>
      <c r="G21" s="73">
        <f>F21/103842.55</f>
        <v>0.16235156012636437</v>
      </c>
      <c r="H21" s="74">
        <f>F21-C21</f>
        <v>5863.200000000001</v>
      </c>
    </row>
    <row r="22" spans="2:6" ht="12.75">
      <c r="B22" t="s">
        <v>187</v>
      </c>
      <c r="F22" t="s">
        <v>188</v>
      </c>
    </row>
  </sheetData>
  <sheetProtection/>
  <mergeCells count="3">
    <mergeCell ref="A1:G1"/>
    <mergeCell ref="E3:G3"/>
    <mergeCell ref="B3:D3"/>
  </mergeCells>
  <printOptions/>
  <pageMargins left="0.61" right="0.69" top="0.83" bottom="0.82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70" zoomScaleNormal="70" zoomScalePageLayoutView="0" workbookViewId="0" topLeftCell="A1">
      <selection activeCell="L19" sqref="L19"/>
    </sheetView>
  </sheetViews>
  <sheetFormatPr defaultColWidth="9.00390625" defaultRowHeight="12.75"/>
  <cols>
    <col min="1" max="1" width="37.25390625" style="0" customWidth="1"/>
    <col min="2" max="2" width="14.875" style="0" customWidth="1"/>
    <col min="3" max="3" width="14.625" style="0" customWidth="1"/>
    <col min="4" max="4" width="15.375" style="0" customWidth="1"/>
    <col min="5" max="5" width="13.125" style="0" customWidth="1"/>
    <col min="6" max="6" width="11.625" style="0" customWidth="1"/>
    <col min="7" max="7" width="13.25390625" style="0" customWidth="1"/>
  </cols>
  <sheetData>
    <row r="1" spans="1:7" ht="18">
      <c r="A1" s="381" t="s">
        <v>192</v>
      </c>
      <c r="B1" s="381"/>
      <c r="C1" s="381"/>
      <c r="D1" s="381"/>
      <c r="E1" s="381"/>
      <c r="F1" s="381"/>
      <c r="G1" s="381"/>
    </row>
    <row r="3" spans="5:7" ht="12.75">
      <c r="E3" s="21"/>
      <c r="F3" s="21"/>
      <c r="G3" s="21" t="s">
        <v>144</v>
      </c>
    </row>
    <row r="4" spans="5:7" ht="12.75">
      <c r="E4" s="21"/>
      <c r="F4" s="21"/>
      <c r="G4" s="21"/>
    </row>
    <row r="5" spans="5:7" ht="13.5" thickBot="1">
      <c r="E5" s="21"/>
      <c r="F5" s="21"/>
      <c r="G5" s="348" t="s">
        <v>82</v>
      </c>
    </row>
    <row r="6" spans="1:7" s="68" customFormat="1" ht="15">
      <c r="A6" s="292"/>
      <c r="B6" s="382" t="s">
        <v>3</v>
      </c>
      <c r="C6" s="383"/>
      <c r="D6" s="384"/>
      <c r="E6" s="377" t="s">
        <v>183</v>
      </c>
      <c r="F6" s="378"/>
      <c r="G6" s="379"/>
    </row>
    <row r="7" spans="1:7" ht="13.5" thickBot="1">
      <c r="A7" s="246"/>
      <c r="B7" s="234"/>
      <c r="C7" s="235"/>
      <c r="D7" s="259"/>
      <c r="E7" s="265" t="s">
        <v>67</v>
      </c>
      <c r="F7" s="236" t="s">
        <v>69</v>
      </c>
      <c r="G7" s="237" t="s">
        <v>80</v>
      </c>
    </row>
    <row r="8" spans="1:7" ht="15.75">
      <c r="A8" s="247" t="s">
        <v>81</v>
      </c>
      <c r="B8" s="22"/>
      <c r="C8" s="231">
        <v>3604.7</v>
      </c>
      <c r="D8" s="260">
        <v>3604.7</v>
      </c>
      <c r="E8" s="266"/>
      <c r="F8" s="47">
        <v>3871.8</v>
      </c>
      <c r="G8" s="51">
        <f>E8+F8</f>
        <v>3871.8</v>
      </c>
    </row>
    <row r="9" spans="1:7" ht="15.75">
      <c r="A9" s="247" t="s">
        <v>83</v>
      </c>
      <c r="B9" s="22"/>
      <c r="C9" s="231">
        <v>-258.89</v>
      </c>
      <c r="D9" s="260">
        <v>-258.89</v>
      </c>
      <c r="E9" s="266"/>
      <c r="F9" s="47">
        <v>37.3</v>
      </c>
      <c r="G9" s="51">
        <f>E9+F9</f>
        <v>37.3</v>
      </c>
    </row>
    <row r="10" spans="1:7" ht="15.75">
      <c r="A10" s="247" t="s">
        <v>84</v>
      </c>
      <c r="B10" s="22"/>
      <c r="C10" s="231">
        <v>3345.81</v>
      </c>
      <c r="D10" s="260">
        <v>3345.81</v>
      </c>
      <c r="E10" s="266"/>
      <c r="F10" s="47">
        <f>F8-F9</f>
        <v>3834.5</v>
      </c>
      <c r="G10" s="51">
        <f>E10+F10</f>
        <v>3834.5</v>
      </c>
    </row>
    <row r="11" spans="1:7" ht="15.75">
      <c r="A11" s="248" t="s">
        <v>85</v>
      </c>
      <c r="B11" s="23"/>
      <c r="C11" s="87"/>
      <c r="D11" s="261"/>
      <c r="E11" s="267"/>
      <c r="F11" s="48"/>
      <c r="G11" s="58"/>
    </row>
    <row r="12" spans="1:7" ht="15.75">
      <c r="A12" s="249" t="s">
        <v>86</v>
      </c>
      <c r="B12" s="23">
        <v>2924.95</v>
      </c>
      <c r="C12" s="87">
        <v>4191.17</v>
      </c>
      <c r="D12" s="261">
        <v>7116.12</v>
      </c>
      <c r="E12" s="268">
        <v>2427.5</v>
      </c>
      <c r="F12" s="48">
        <v>4341.6</v>
      </c>
      <c r="G12" s="58">
        <f>E12+F12</f>
        <v>6769.1</v>
      </c>
    </row>
    <row r="13" spans="1:7" ht="15.75">
      <c r="A13" s="249" t="s">
        <v>87</v>
      </c>
      <c r="B13" s="23">
        <v>4450.03</v>
      </c>
      <c r="C13" s="87">
        <v>1489.85</v>
      </c>
      <c r="D13" s="261">
        <v>5939.879999999999</v>
      </c>
      <c r="E13" s="268">
        <v>3919.7</v>
      </c>
      <c r="F13" s="48">
        <v>2982.2</v>
      </c>
      <c r="G13" s="58">
        <f aca="true" t="shared" si="0" ref="G13:G25">E13+F13</f>
        <v>6901.9</v>
      </c>
    </row>
    <row r="14" spans="1:7" ht="15.75">
      <c r="A14" s="249" t="s">
        <v>88</v>
      </c>
      <c r="B14" s="23">
        <v>192.47</v>
      </c>
      <c r="C14" s="87"/>
      <c r="D14" s="261">
        <v>192.47</v>
      </c>
      <c r="E14" s="268">
        <v>359.1</v>
      </c>
      <c r="F14" s="63">
        <v>0.05</v>
      </c>
      <c r="G14" s="58">
        <f t="shared" si="0"/>
        <v>359.15000000000003</v>
      </c>
    </row>
    <row r="15" spans="1:7" ht="15.75">
      <c r="A15" s="249" t="s">
        <v>90</v>
      </c>
      <c r="B15" s="23"/>
      <c r="C15" s="87">
        <v>472.41</v>
      </c>
      <c r="D15" s="261">
        <v>472.41</v>
      </c>
      <c r="E15" s="269"/>
      <c r="F15" s="63">
        <v>551</v>
      </c>
      <c r="G15" s="58">
        <f t="shared" si="0"/>
        <v>551</v>
      </c>
    </row>
    <row r="16" spans="1:7" ht="15.75">
      <c r="A16" s="249" t="s">
        <v>91</v>
      </c>
      <c r="B16" s="23">
        <v>84.82</v>
      </c>
      <c r="C16" s="87">
        <v>48.17</v>
      </c>
      <c r="D16" s="261">
        <v>132.99</v>
      </c>
      <c r="E16" s="268">
        <v>58.9</v>
      </c>
      <c r="F16" s="63">
        <v>250.7</v>
      </c>
      <c r="G16" s="58">
        <f t="shared" si="0"/>
        <v>309.59999999999997</v>
      </c>
    </row>
    <row r="17" spans="1:7" ht="15.75">
      <c r="A17" s="249" t="s">
        <v>92</v>
      </c>
      <c r="B17" s="23">
        <v>24.87</v>
      </c>
      <c r="C17" s="87">
        <v>9.82</v>
      </c>
      <c r="D17" s="261">
        <v>34.69</v>
      </c>
      <c r="E17" s="268">
        <v>12.5</v>
      </c>
      <c r="F17" s="63">
        <v>16.5</v>
      </c>
      <c r="G17" s="58">
        <f t="shared" si="0"/>
        <v>29</v>
      </c>
    </row>
    <row r="18" spans="1:7" ht="32.25" customHeight="1">
      <c r="A18" s="250" t="s">
        <v>93</v>
      </c>
      <c r="B18" s="303">
        <v>209.28</v>
      </c>
      <c r="C18" s="304">
        <v>177.57</v>
      </c>
      <c r="D18" s="305">
        <v>386.85</v>
      </c>
      <c r="E18" s="268">
        <v>184.2</v>
      </c>
      <c r="F18" s="63">
        <v>85.95</v>
      </c>
      <c r="G18" s="58">
        <f t="shared" si="0"/>
        <v>270.15</v>
      </c>
    </row>
    <row r="19" spans="1:7" ht="30" customHeight="1">
      <c r="A19" s="250" t="s">
        <v>94</v>
      </c>
      <c r="B19" s="303">
        <v>68.1</v>
      </c>
      <c r="C19" s="304">
        <v>52.03</v>
      </c>
      <c r="D19" s="305">
        <v>120.13</v>
      </c>
      <c r="E19" s="268">
        <f>88.1+39.9</f>
        <v>128</v>
      </c>
      <c r="F19" s="48">
        <f>66.1+12.1</f>
        <v>78.19999999999999</v>
      </c>
      <c r="G19" s="58">
        <f t="shared" si="0"/>
        <v>206.2</v>
      </c>
    </row>
    <row r="20" spans="1:7" ht="15.75">
      <c r="A20" s="250" t="s">
        <v>72</v>
      </c>
      <c r="B20" s="303">
        <v>21.4</v>
      </c>
      <c r="C20" s="304">
        <v>56.44</v>
      </c>
      <c r="D20" s="305">
        <v>77.84</v>
      </c>
      <c r="E20" s="268"/>
      <c r="F20" s="48">
        <v>41.4</v>
      </c>
      <c r="G20" s="58">
        <f t="shared" si="0"/>
        <v>41.4</v>
      </c>
    </row>
    <row r="21" spans="1:7" ht="15.75">
      <c r="A21" s="249" t="s">
        <v>95</v>
      </c>
      <c r="B21" s="23">
        <v>800</v>
      </c>
      <c r="C21" s="87">
        <v>1585.36</v>
      </c>
      <c r="D21" s="261">
        <v>2385.3599999999997</v>
      </c>
      <c r="E21" s="268">
        <v>2855.7</v>
      </c>
      <c r="F21" s="48">
        <v>1962</v>
      </c>
      <c r="G21" s="58">
        <f t="shared" si="0"/>
        <v>4817.7</v>
      </c>
    </row>
    <row r="22" spans="1:7" ht="15.75">
      <c r="A22" s="249" t="s">
        <v>96</v>
      </c>
      <c r="B22" s="23"/>
      <c r="C22" s="87">
        <v>241.8</v>
      </c>
      <c r="D22" s="261">
        <v>241.8</v>
      </c>
      <c r="E22" s="269"/>
      <c r="F22" s="48">
        <v>274.4</v>
      </c>
      <c r="G22" s="58">
        <f t="shared" si="0"/>
        <v>274.4</v>
      </c>
    </row>
    <row r="23" spans="1:7" ht="15.75">
      <c r="A23" s="251" t="s">
        <v>97</v>
      </c>
      <c r="B23" s="306"/>
      <c r="C23" s="307">
        <v>296.05</v>
      </c>
      <c r="D23" s="308">
        <v>296.05</v>
      </c>
      <c r="E23" s="270"/>
      <c r="F23" s="49">
        <v>676.2</v>
      </c>
      <c r="G23" s="58">
        <f t="shared" si="0"/>
        <v>676.2</v>
      </c>
    </row>
    <row r="24" spans="1:7" ht="15.75">
      <c r="A24" s="251" t="s">
        <v>98</v>
      </c>
      <c r="B24" s="306"/>
      <c r="C24" s="307">
        <v>415.61</v>
      </c>
      <c r="D24" s="308">
        <v>415.61</v>
      </c>
      <c r="E24" s="270"/>
      <c r="F24" s="49">
        <v>354.3</v>
      </c>
      <c r="G24" s="58">
        <f t="shared" si="0"/>
        <v>354.3</v>
      </c>
    </row>
    <row r="25" spans="1:7" ht="16.5" thickBot="1">
      <c r="A25" s="252" t="s">
        <v>99</v>
      </c>
      <c r="B25" s="28">
        <v>8775.919999999998</v>
      </c>
      <c r="C25" s="232">
        <v>9036.279999999999</v>
      </c>
      <c r="D25" s="262">
        <v>17812.199999999997</v>
      </c>
      <c r="E25" s="270">
        <f>SUM(E12:E22)</f>
        <v>9945.599999999999</v>
      </c>
      <c r="F25" s="49">
        <f>SUM(F12:F24)</f>
        <v>11614.5</v>
      </c>
      <c r="G25" s="58">
        <f t="shared" si="0"/>
        <v>21560.1</v>
      </c>
    </row>
    <row r="26" spans="1:7" ht="16.5" thickBot="1">
      <c r="A26" s="253" t="s">
        <v>100</v>
      </c>
      <c r="B26" s="29"/>
      <c r="C26" s="233">
        <v>-5690.469999999999</v>
      </c>
      <c r="D26" s="263">
        <v>-5690.469999999999</v>
      </c>
      <c r="E26" s="271"/>
      <c r="F26" s="50">
        <f>F10-F25</f>
        <v>-7780</v>
      </c>
      <c r="G26" s="52">
        <f>F26</f>
        <v>-7780</v>
      </c>
    </row>
    <row r="27" spans="1:7" ht="19.5" customHeight="1">
      <c r="A27" s="30" t="s">
        <v>101</v>
      </c>
      <c r="B27" s="30"/>
      <c r="C27" s="31"/>
      <c r="D27" s="264"/>
      <c r="E27" s="272"/>
      <c r="F27" s="32"/>
      <c r="G27" s="33"/>
    </row>
    <row r="28" spans="1:7" ht="19.5" customHeight="1">
      <c r="A28" s="254" t="s">
        <v>102</v>
      </c>
      <c r="B28" s="273">
        <v>4874</v>
      </c>
      <c r="C28" s="258">
        <v>1750</v>
      </c>
      <c r="D28" s="296">
        <v>6624</v>
      </c>
      <c r="E28" s="273">
        <f>E29</f>
        <v>2062</v>
      </c>
      <c r="F28" s="238">
        <f>F29+F30+F31</f>
        <v>1158</v>
      </c>
      <c r="G28" s="239">
        <f>E28+F28</f>
        <v>3220</v>
      </c>
    </row>
    <row r="29" spans="1:7" ht="19.5" customHeight="1">
      <c r="A29" s="254" t="s">
        <v>103</v>
      </c>
      <c r="B29" s="273">
        <v>4874</v>
      </c>
      <c r="C29" s="258">
        <v>215</v>
      </c>
      <c r="D29" s="296">
        <v>5089</v>
      </c>
      <c r="E29" s="273">
        <v>2062</v>
      </c>
      <c r="F29" s="240">
        <v>457</v>
      </c>
      <c r="G29" s="239">
        <f>E29+F29</f>
        <v>2519</v>
      </c>
    </row>
    <row r="30" spans="1:7" ht="19.5" customHeight="1">
      <c r="A30" s="255" t="s">
        <v>104</v>
      </c>
      <c r="B30" s="297" t="s">
        <v>89</v>
      </c>
      <c r="C30" s="298">
        <v>347</v>
      </c>
      <c r="D30" s="299">
        <v>347</v>
      </c>
      <c r="E30" s="273" t="s">
        <v>89</v>
      </c>
      <c r="F30" s="240">
        <v>344</v>
      </c>
      <c r="G30" s="239">
        <f>F30</f>
        <v>344</v>
      </c>
    </row>
    <row r="31" spans="1:7" ht="19.5" customHeight="1">
      <c r="A31" s="256" t="s">
        <v>105</v>
      </c>
      <c r="B31" s="273" t="s">
        <v>89</v>
      </c>
      <c r="C31" s="258">
        <v>1188</v>
      </c>
      <c r="D31" s="296">
        <v>1188</v>
      </c>
      <c r="E31" s="273" t="s">
        <v>89</v>
      </c>
      <c r="F31" s="240">
        <v>357</v>
      </c>
      <c r="G31" s="239">
        <f>F31</f>
        <v>357</v>
      </c>
    </row>
    <row r="32" spans="1:7" ht="19.5" customHeight="1" thickBot="1">
      <c r="A32" s="257" t="s">
        <v>106</v>
      </c>
      <c r="B32" s="300">
        <v>19023</v>
      </c>
      <c r="C32" s="301">
        <v>5743</v>
      </c>
      <c r="D32" s="302">
        <v>24766</v>
      </c>
      <c r="E32" s="274">
        <v>16078</v>
      </c>
      <c r="F32" s="241">
        <v>7350</v>
      </c>
      <c r="G32" s="242">
        <f>E32+F32</f>
        <v>23428</v>
      </c>
    </row>
    <row r="33" spans="5:7" ht="7.5" customHeight="1">
      <c r="E33" s="21"/>
      <c r="F33" s="21"/>
      <c r="G33" s="21"/>
    </row>
    <row r="34" spans="1:7" s="68" customFormat="1" ht="15">
      <c r="A34" s="380" t="s">
        <v>107</v>
      </c>
      <c r="B34" s="380"/>
      <c r="C34" s="380"/>
      <c r="D34" s="380"/>
      <c r="E34" s="380"/>
      <c r="F34" s="380"/>
      <c r="G34" s="380"/>
    </row>
    <row r="35" ht="6" customHeight="1" thickBot="1"/>
    <row r="36" spans="1:7" ht="15">
      <c r="A36" s="275" t="s">
        <v>108</v>
      </c>
      <c r="B36" s="276"/>
      <c r="C36" s="277" t="s">
        <v>109</v>
      </c>
      <c r="D36" s="278">
        <v>54.13333333333333</v>
      </c>
      <c r="E36" s="276"/>
      <c r="F36" s="277" t="s">
        <v>109</v>
      </c>
      <c r="G36" s="285">
        <f>G32/46665%</f>
        <v>50.204650166077364</v>
      </c>
    </row>
    <row r="37" spans="1:7" ht="25.5">
      <c r="A37" s="275" t="s">
        <v>153</v>
      </c>
      <c r="B37" s="279"/>
      <c r="C37" s="245"/>
      <c r="D37" s="280">
        <v>305</v>
      </c>
      <c r="E37" s="281"/>
      <c r="F37" s="243"/>
      <c r="G37" s="286">
        <v>305</v>
      </c>
    </row>
    <row r="38" spans="1:7" ht="17.25" customHeight="1">
      <c r="A38" s="275" t="s">
        <v>197</v>
      </c>
      <c r="B38" s="281"/>
      <c r="C38" s="103"/>
      <c r="D38" s="282"/>
      <c r="E38" s="281"/>
      <c r="F38" s="243"/>
      <c r="G38" s="286"/>
    </row>
    <row r="39" spans="1:7" ht="19.5" customHeight="1">
      <c r="A39" s="275" t="s">
        <v>110</v>
      </c>
      <c r="B39" s="281"/>
      <c r="C39" s="103" t="s">
        <v>111</v>
      </c>
      <c r="D39" s="282">
        <v>61.5</v>
      </c>
      <c r="E39" s="281"/>
      <c r="F39" s="244" t="s">
        <v>111</v>
      </c>
      <c r="G39" s="287">
        <v>67.4</v>
      </c>
    </row>
    <row r="40" spans="1:7" ht="25.5">
      <c r="A40" s="275" t="s">
        <v>199</v>
      </c>
      <c r="B40" s="281"/>
      <c r="C40" s="103" t="s">
        <v>112</v>
      </c>
      <c r="D40" s="282">
        <v>7168.24</v>
      </c>
      <c r="E40" s="281"/>
      <c r="F40" s="244" t="s">
        <v>112</v>
      </c>
      <c r="G40" s="287">
        <f>6769050/G39/12</f>
        <v>8369.250741839762</v>
      </c>
    </row>
    <row r="41" spans="1:7" ht="25.5">
      <c r="A41" s="275" t="s">
        <v>200</v>
      </c>
      <c r="B41" s="281"/>
      <c r="C41" s="103" t="s">
        <v>112</v>
      </c>
      <c r="D41" s="282">
        <v>718.36</v>
      </c>
      <c r="E41" s="281"/>
      <c r="F41" s="244" t="s">
        <v>112</v>
      </c>
      <c r="G41" s="288">
        <f>21560100/G32</f>
        <v>920.2706163564965</v>
      </c>
    </row>
    <row r="42" spans="1:7" ht="15">
      <c r="A42" s="275" t="s">
        <v>182</v>
      </c>
      <c r="B42" s="281"/>
      <c r="C42" s="103" t="s">
        <v>112</v>
      </c>
      <c r="D42" s="282">
        <v>461.33</v>
      </c>
      <c r="E42" s="281"/>
      <c r="F42" s="244" t="s">
        <v>112</v>
      </c>
      <c r="G42" s="288">
        <f>9945600/E32</f>
        <v>618.584401044906</v>
      </c>
    </row>
    <row r="43" spans="1:7" ht="26.25" thickBot="1">
      <c r="A43" s="275" t="s">
        <v>113</v>
      </c>
      <c r="B43" s="234"/>
      <c r="C43" s="283" t="s">
        <v>112</v>
      </c>
      <c r="D43" s="284">
        <v>582.59</v>
      </c>
      <c r="E43" s="234"/>
      <c r="F43" s="289" t="s">
        <v>112</v>
      </c>
      <c r="G43" s="290">
        <f>11614500/F32</f>
        <v>1580.204081632653</v>
      </c>
    </row>
    <row r="45" spans="1:6" s="68" customFormat="1" ht="15">
      <c r="A45" s="68" t="s">
        <v>187</v>
      </c>
      <c r="F45" s="291" t="s">
        <v>188</v>
      </c>
    </row>
  </sheetData>
  <sheetProtection/>
  <mergeCells count="4">
    <mergeCell ref="E6:G6"/>
    <mergeCell ref="A34:G34"/>
    <mergeCell ref="A1:G1"/>
    <mergeCell ref="B6:D6"/>
  </mergeCells>
  <printOptions/>
  <pageMargins left="0.6692913385826772" right="0.708661417322834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70" zoomScaleNormal="70" zoomScalePageLayoutView="0" workbookViewId="0" topLeftCell="A1">
      <selection activeCell="J43" sqref="J43"/>
    </sheetView>
  </sheetViews>
  <sheetFormatPr defaultColWidth="9.00390625" defaultRowHeight="12.75"/>
  <cols>
    <col min="1" max="1" width="35.875" style="0" customWidth="1"/>
    <col min="2" max="2" width="14.125" style="0" customWidth="1"/>
    <col min="3" max="3" width="13.625" style="0" customWidth="1"/>
    <col min="4" max="4" width="14.00390625" style="0" customWidth="1"/>
    <col min="5" max="5" width="13.125" style="0" customWidth="1"/>
    <col min="6" max="6" width="12.00390625" style="0" customWidth="1"/>
    <col min="7" max="7" width="12.625" style="0" customWidth="1"/>
  </cols>
  <sheetData>
    <row r="1" spans="1:7" ht="36.75" customHeight="1">
      <c r="A1" s="385" t="s">
        <v>193</v>
      </c>
      <c r="B1" s="385"/>
      <c r="C1" s="385"/>
      <c r="D1" s="385"/>
      <c r="E1" s="386"/>
      <c r="F1" s="386"/>
      <c r="G1" s="386"/>
    </row>
    <row r="3" spans="5:7" ht="12.75">
      <c r="E3" s="21"/>
      <c r="F3" s="21"/>
      <c r="G3" t="s">
        <v>145</v>
      </c>
    </row>
    <row r="4" spans="5:6" ht="12.75">
      <c r="E4" s="21"/>
      <c r="F4" s="21"/>
    </row>
    <row r="5" spans="5:7" ht="13.5" thickBot="1">
      <c r="E5" s="21"/>
      <c r="F5" s="21"/>
      <c r="G5" s="197" t="s">
        <v>82</v>
      </c>
    </row>
    <row r="6" spans="1:7" s="68" customFormat="1" ht="15">
      <c r="A6" s="292"/>
      <c r="B6" s="382" t="s">
        <v>3</v>
      </c>
      <c r="C6" s="383"/>
      <c r="D6" s="384"/>
      <c r="E6" s="377" t="s">
        <v>183</v>
      </c>
      <c r="F6" s="378"/>
      <c r="G6" s="379"/>
    </row>
    <row r="7" spans="1:7" ht="45.75" thickBot="1">
      <c r="A7" s="246"/>
      <c r="B7" s="309" t="s">
        <v>116</v>
      </c>
      <c r="C7" s="293" t="s">
        <v>69</v>
      </c>
      <c r="D7" s="294" t="s">
        <v>80</v>
      </c>
      <c r="E7" s="309" t="s">
        <v>116</v>
      </c>
      <c r="F7" s="293" t="s">
        <v>69</v>
      </c>
      <c r="G7" s="294" t="s">
        <v>80</v>
      </c>
    </row>
    <row r="8" spans="1:7" ht="15.75">
      <c r="A8" s="247" t="s">
        <v>81</v>
      </c>
      <c r="B8" s="22"/>
      <c r="C8" s="231">
        <v>7231.7</v>
      </c>
      <c r="D8" s="260">
        <v>7231.7</v>
      </c>
      <c r="E8" s="310"/>
      <c r="F8" s="47">
        <v>6113.3</v>
      </c>
      <c r="G8" s="51">
        <f>E8+F8</f>
        <v>6113.3</v>
      </c>
    </row>
    <row r="9" spans="1:7" ht="15.75">
      <c r="A9" s="247" t="s">
        <v>83</v>
      </c>
      <c r="B9" s="22"/>
      <c r="C9" s="231">
        <v>-1103.2</v>
      </c>
      <c r="D9" s="260">
        <v>-1103.2</v>
      </c>
      <c r="E9" s="310"/>
      <c r="F9" s="47">
        <v>932.6</v>
      </c>
      <c r="G9" s="51">
        <f aca="true" t="shared" si="0" ref="G9:G26">E9+F9</f>
        <v>932.6</v>
      </c>
    </row>
    <row r="10" spans="1:7" ht="15.75">
      <c r="A10" s="247" t="s">
        <v>84</v>
      </c>
      <c r="B10" s="22"/>
      <c r="C10" s="231">
        <v>6128.5</v>
      </c>
      <c r="D10" s="260">
        <v>6128.5</v>
      </c>
      <c r="E10" s="310"/>
      <c r="F10" s="47">
        <f>F8-F9</f>
        <v>5180.7</v>
      </c>
      <c r="G10" s="51">
        <f t="shared" si="0"/>
        <v>5180.7</v>
      </c>
    </row>
    <row r="11" spans="1:7" ht="15.75">
      <c r="A11" s="248" t="s">
        <v>85</v>
      </c>
      <c r="B11" s="23"/>
      <c r="C11" s="87"/>
      <c r="D11" s="261"/>
      <c r="E11" s="269"/>
      <c r="F11" s="48"/>
      <c r="G11" s="51"/>
    </row>
    <row r="12" spans="1:7" ht="15.75">
      <c r="A12" s="249" t="s">
        <v>86</v>
      </c>
      <c r="B12" s="23">
        <v>726.6</v>
      </c>
      <c r="C12" s="87">
        <v>3551.6</v>
      </c>
      <c r="D12" s="261">
        <v>4278.2</v>
      </c>
      <c r="E12" s="268">
        <v>2449.6</v>
      </c>
      <c r="F12" s="48">
        <f>2347.2+3.1</f>
        <v>2350.2999999999997</v>
      </c>
      <c r="G12" s="51">
        <f t="shared" si="0"/>
        <v>4799.9</v>
      </c>
    </row>
    <row r="13" spans="1:7" ht="15.75">
      <c r="A13" s="249" t="s">
        <v>87</v>
      </c>
      <c r="B13" s="23"/>
      <c r="C13" s="87"/>
      <c r="D13" s="261">
        <v>0</v>
      </c>
      <c r="E13" s="269"/>
      <c r="F13" s="48"/>
      <c r="G13" s="51">
        <f t="shared" si="0"/>
        <v>0</v>
      </c>
    </row>
    <row r="14" spans="1:7" ht="15.75">
      <c r="A14" s="249" t="s">
        <v>88</v>
      </c>
      <c r="B14" s="23"/>
      <c r="C14" s="87">
        <v>14.5</v>
      </c>
      <c r="D14" s="261">
        <v>14.5</v>
      </c>
      <c r="E14" s="268"/>
      <c r="F14" s="63"/>
      <c r="G14" s="51">
        <f t="shared" si="0"/>
        <v>0</v>
      </c>
    </row>
    <row r="15" spans="1:7" ht="15.75">
      <c r="A15" s="249" t="s">
        <v>90</v>
      </c>
      <c r="B15" s="23"/>
      <c r="C15" s="87"/>
      <c r="D15" s="261">
        <v>0</v>
      </c>
      <c r="E15" s="268"/>
      <c r="F15" s="63"/>
      <c r="G15" s="51">
        <f t="shared" si="0"/>
        <v>0</v>
      </c>
    </row>
    <row r="16" spans="1:7" ht="15.75">
      <c r="A16" s="249" t="s">
        <v>91</v>
      </c>
      <c r="B16" s="23">
        <v>10.7</v>
      </c>
      <c r="C16" s="87">
        <v>81.8</v>
      </c>
      <c r="D16" s="261">
        <v>92.5</v>
      </c>
      <c r="E16" s="268">
        <v>0.05</v>
      </c>
      <c r="F16" s="63">
        <v>295.6</v>
      </c>
      <c r="G16" s="51">
        <f t="shared" si="0"/>
        <v>295.65000000000003</v>
      </c>
    </row>
    <row r="17" spans="1:7" ht="15.75">
      <c r="A17" s="249" t="s">
        <v>92</v>
      </c>
      <c r="B17" s="23">
        <v>62.1</v>
      </c>
      <c r="C17" s="87">
        <v>75.3</v>
      </c>
      <c r="D17" s="261">
        <v>137.4</v>
      </c>
      <c r="E17" s="268">
        <v>105.2</v>
      </c>
      <c r="F17" s="63">
        <v>177.6</v>
      </c>
      <c r="G17" s="51">
        <f t="shared" si="0"/>
        <v>282.8</v>
      </c>
    </row>
    <row r="18" spans="1:7" ht="45.75">
      <c r="A18" s="250" t="s">
        <v>121</v>
      </c>
      <c r="B18" s="303">
        <v>88.4</v>
      </c>
      <c r="C18" s="304">
        <v>107.7</v>
      </c>
      <c r="D18" s="305">
        <v>196.10000000000002</v>
      </c>
      <c r="E18" s="268">
        <v>16.9</v>
      </c>
      <c r="F18" s="63">
        <v>102.6</v>
      </c>
      <c r="G18" s="51">
        <f t="shared" si="0"/>
        <v>119.5</v>
      </c>
    </row>
    <row r="19" spans="1:7" ht="45.75">
      <c r="A19" s="250" t="s">
        <v>114</v>
      </c>
      <c r="B19" s="303"/>
      <c r="C19" s="304">
        <v>29</v>
      </c>
      <c r="D19" s="305">
        <v>29</v>
      </c>
      <c r="E19" s="269"/>
      <c r="F19" s="48">
        <v>28.9</v>
      </c>
      <c r="G19" s="51">
        <f t="shared" si="0"/>
        <v>28.9</v>
      </c>
    </row>
    <row r="20" spans="1:7" ht="15.75">
      <c r="A20" s="250" t="s">
        <v>72</v>
      </c>
      <c r="B20" s="303">
        <v>26.5</v>
      </c>
      <c r="C20" s="304"/>
      <c r="D20" s="305">
        <v>26.5</v>
      </c>
      <c r="E20" s="268"/>
      <c r="F20" s="48"/>
      <c r="G20" s="51">
        <f t="shared" si="0"/>
        <v>0</v>
      </c>
    </row>
    <row r="21" spans="1:7" ht="15.75">
      <c r="A21" s="250" t="s">
        <v>73</v>
      </c>
      <c r="B21" s="303"/>
      <c r="C21" s="304">
        <v>34.2</v>
      </c>
      <c r="D21" s="305">
        <v>34.2</v>
      </c>
      <c r="E21" s="269"/>
      <c r="F21" s="48">
        <v>0.3</v>
      </c>
      <c r="G21" s="51">
        <f t="shared" si="0"/>
        <v>0.3</v>
      </c>
    </row>
    <row r="22" spans="1:7" ht="15.75">
      <c r="A22" s="249" t="s">
        <v>95</v>
      </c>
      <c r="B22" s="23">
        <v>5284.5</v>
      </c>
      <c r="C22" s="87">
        <v>2895.6</v>
      </c>
      <c r="D22" s="261">
        <v>8180.1</v>
      </c>
      <c r="E22" s="268">
        <v>8927.5</v>
      </c>
      <c r="F22" s="48">
        <v>1599</v>
      </c>
      <c r="G22" s="51">
        <f t="shared" si="0"/>
        <v>10526.5</v>
      </c>
    </row>
    <row r="23" spans="1:7" ht="18.75" customHeight="1">
      <c r="A23" s="249" t="s">
        <v>96</v>
      </c>
      <c r="B23" s="23"/>
      <c r="C23" s="87"/>
      <c r="D23" s="261">
        <v>0</v>
      </c>
      <c r="E23" s="269"/>
      <c r="F23" s="48"/>
      <c r="G23" s="51">
        <f t="shared" si="0"/>
        <v>0</v>
      </c>
    </row>
    <row r="24" spans="1:7" ht="15.75">
      <c r="A24" s="251" t="s">
        <v>97</v>
      </c>
      <c r="B24" s="306">
        <v>883.2</v>
      </c>
      <c r="C24" s="307">
        <v>177.3</v>
      </c>
      <c r="D24" s="308">
        <v>1060.5</v>
      </c>
      <c r="E24" s="311">
        <v>740</v>
      </c>
      <c r="F24" s="49">
        <v>649</v>
      </c>
      <c r="G24" s="51">
        <f t="shared" si="0"/>
        <v>1389</v>
      </c>
    </row>
    <row r="25" spans="1:7" ht="15.75">
      <c r="A25" s="251" t="s">
        <v>98</v>
      </c>
      <c r="B25" s="306"/>
      <c r="C25" s="307">
        <v>30</v>
      </c>
      <c r="D25" s="308">
        <v>30</v>
      </c>
      <c r="E25" s="270"/>
      <c r="F25" s="49">
        <v>114.6</v>
      </c>
      <c r="G25" s="51">
        <f t="shared" si="0"/>
        <v>114.6</v>
      </c>
    </row>
    <row r="26" spans="1:7" ht="16.5" thickBot="1">
      <c r="A26" s="252" t="s">
        <v>99</v>
      </c>
      <c r="B26" s="28">
        <v>7082</v>
      </c>
      <c r="C26" s="232">
        <v>6997</v>
      </c>
      <c r="D26" s="262">
        <v>14079</v>
      </c>
      <c r="E26" s="270">
        <f>SUM(E12:E25)</f>
        <v>12239.25</v>
      </c>
      <c r="F26" s="49">
        <f>SUM(F12:F25)</f>
        <v>5317.9</v>
      </c>
      <c r="G26" s="51">
        <f t="shared" si="0"/>
        <v>17557.15</v>
      </c>
    </row>
    <row r="27" spans="1:7" ht="21.75" customHeight="1" thickBot="1">
      <c r="A27" s="253" t="s">
        <v>100</v>
      </c>
      <c r="B27" s="29"/>
      <c r="C27" s="233">
        <v>-868.5</v>
      </c>
      <c r="D27" s="263"/>
      <c r="E27" s="312"/>
      <c r="F27" s="50">
        <f>F10-F26</f>
        <v>-137.19999999999982</v>
      </c>
      <c r="G27" s="52"/>
    </row>
    <row r="28" spans="1:7" ht="21" customHeight="1" thickBot="1">
      <c r="A28" s="30" t="s">
        <v>101</v>
      </c>
      <c r="B28" s="31"/>
      <c r="C28" s="31"/>
      <c r="D28" s="31"/>
      <c r="E28" s="44"/>
      <c r="F28" s="44"/>
      <c r="G28" s="315"/>
    </row>
    <row r="29" spans="1:7" ht="30">
      <c r="A29" s="34" t="s">
        <v>115</v>
      </c>
      <c r="B29" s="35" t="s">
        <v>111</v>
      </c>
      <c r="C29" s="316"/>
      <c r="D29" s="321">
        <v>1205</v>
      </c>
      <c r="E29" s="295"/>
      <c r="F29" s="327"/>
      <c r="G29" s="330">
        <v>1205</v>
      </c>
    </row>
    <row r="30" spans="1:7" ht="21" customHeight="1">
      <c r="A30" s="34" t="s">
        <v>147</v>
      </c>
      <c r="B30" s="35" t="s">
        <v>111</v>
      </c>
      <c r="C30" s="316"/>
      <c r="D30" s="322">
        <v>1070</v>
      </c>
      <c r="E30" s="295"/>
      <c r="F30" s="327"/>
      <c r="G30" s="325">
        <v>1070</v>
      </c>
    </row>
    <row r="31" spans="1:7" ht="21" customHeight="1">
      <c r="A31" s="37" t="s">
        <v>148</v>
      </c>
      <c r="B31" s="35" t="s">
        <v>111</v>
      </c>
      <c r="C31" s="317"/>
      <c r="D31" s="323">
        <v>99</v>
      </c>
      <c r="E31" s="295"/>
      <c r="F31" s="327"/>
      <c r="G31" s="325">
        <v>99</v>
      </c>
    </row>
    <row r="32" spans="1:7" ht="21" customHeight="1">
      <c r="A32" s="38" t="s">
        <v>149</v>
      </c>
      <c r="B32" s="35" t="s">
        <v>111</v>
      </c>
      <c r="C32" s="316"/>
      <c r="D32" s="322">
        <v>36</v>
      </c>
      <c r="E32" s="295"/>
      <c r="F32" s="327"/>
      <c r="G32" s="325">
        <v>36</v>
      </c>
    </row>
    <row r="33" spans="1:7" ht="32.25" customHeight="1">
      <c r="A33" s="43" t="s">
        <v>150</v>
      </c>
      <c r="B33" s="42" t="s">
        <v>65</v>
      </c>
      <c r="C33" s="318"/>
      <c r="D33" s="324">
        <v>320</v>
      </c>
      <c r="E33" s="313"/>
      <c r="F33" s="328"/>
      <c r="G33" s="331">
        <v>320</v>
      </c>
    </row>
    <row r="34" spans="1:7" ht="20.25" customHeight="1">
      <c r="A34" s="2" t="s">
        <v>140</v>
      </c>
      <c r="B34" s="2"/>
      <c r="C34" s="319"/>
      <c r="D34" s="325">
        <v>9.1</v>
      </c>
      <c r="E34" s="314"/>
      <c r="F34" s="319"/>
      <c r="G34" s="325">
        <v>9.1</v>
      </c>
    </row>
    <row r="35" spans="1:7" ht="18" customHeight="1">
      <c r="A35" s="2" t="s">
        <v>141</v>
      </c>
      <c r="B35" s="2"/>
      <c r="C35" s="319"/>
      <c r="D35" s="325">
        <v>310.9</v>
      </c>
      <c r="E35" s="314"/>
      <c r="F35" s="319"/>
      <c r="G35" s="325">
        <v>310.9</v>
      </c>
    </row>
    <row r="36" spans="1:7" ht="26.25" thickBot="1">
      <c r="A36" s="3" t="s">
        <v>151</v>
      </c>
      <c r="B36" s="9" t="s">
        <v>152</v>
      </c>
      <c r="C36" s="320"/>
      <c r="D36" s="326">
        <v>973.6514522821576</v>
      </c>
      <c r="E36" s="314"/>
      <c r="F36" s="329"/>
      <c r="G36" s="332">
        <f>G26*1000/G29/12</f>
        <v>1214.1874135546334</v>
      </c>
    </row>
    <row r="39" spans="1:6" ht="12.75">
      <c r="A39" t="s">
        <v>203</v>
      </c>
      <c r="F39" s="65" t="s">
        <v>188</v>
      </c>
    </row>
  </sheetData>
  <sheetProtection/>
  <mergeCells count="3">
    <mergeCell ref="E6:G6"/>
    <mergeCell ref="A1:G1"/>
    <mergeCell ref="B6:D6"/>
  </mergeCells>
  <printOptions/>
  <pageMargins left="0.984251968503937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70" zoomScaleNormal="70" zoomScalePageLayoutView="0" workbookViewId="0" topLeftCell="A1">
      <selection activeCell="J31" sqref="J31"/>
    </sheetView>
  </sheetViews>
  <sheetFormatPr defaultColWidth="9.00390625" defaultRowHeight="12.75"/>
  <cols>
    <col min="1" max="1" width="33.625" style="0" customWidth="1"/>
    <col min="2" max="2" width="11.875" style="0" customWidth="1"/>
    <col min="3" max="3" width="11.625" style="0" customWidth="1"/>
    <col min="4" max="4" width="12.00390625" style="0" customWidth="1"/>
    <col min="5" max="5" width="12.75390625" style="0" customWidth="1"/>
    <col min="6" max="6" width="12.375" style="0" customWidth="1"/>
    <col min="7" max="7" width="12.125" style="0" customWidth="1"/>
  </cols>
  <sheetData>
    <row r="1" spans="1:7" ht="36" customHeight="1">
      <c r="A1" s="385" t="s">
        <v>194</v>
      </c>
      <c r="B1" s="385"/>
      <c r="C1" s="385"/>
      <c r="D1" s="385"/>
      <c r="E1" s="386"/>
      <c r="F1" s="386"/>
      <c r="G1" s="386"/>
    </row>
    <row r="2" spans="1:7" ht="18">
      <c r="A2" s="19"/>
      <c r="B2" s="19"/>
      <c r="C2" s="19"/>
      <c r="D2" s="19"/>
      <c r="E2" s="20"/>
      <c r="F2" s="20"/>
      <c r="G2" s="20"/>
    </row>
    <row r="4" spans="5:7" ht="12.75">
      <c r="E4" s="21"/>
      <c r="F4" s="21"/>
      <c r="G4" s="21" t="s">
        <v>146</v>
      </c>
    </row>
    <row r="5" spans="5:7" ht="12.75">
      <c r="E5" s="21"/>
      <c r="F5" s="21"/>
      <c r="G5" s="21"/>
    </row>
    <row r="6" spans="5:7" ht="13.5" thickBot="1">
      <c r="E6" s="21"/>
      <c r="G6" s="348" t="s">
        <v>82</v>
      </c>
    </row>
    <row r="7" spans="1:7" s="68" customFormat="1" ht="15">
      <c r="A7" s="292"/>
      <c r="B7" s="382" t="s">
        <v>3</v>
      </c>
      <c r="C7" s="383"/>
      <c r="D7" s="384"/>
      <c r="E7" s="377" t="s">
        <v>183</v>
      </c>
      <c r="F7" s="378"/>
      <c r="G7" s="379"/>
    </row>
    <row r="8" spans="1:7" s="68" customFormat="1" ht="24" customHeight="1" thickBot="1">
      <c r="A8" s="333"/>
      <c r="B8" s="309" t="s">
        <v>196</v>
      </c>
      <c r="C8" s="293" t="s">
        <v>69</v>
      </c>
      <c r="D8" s="294" t="s">
        <v>80</v>
      </c>
      <c r="E8" s="309" t="s">
        <v>196</v>
      </c>
      <c r="F8" s="293" t="s">
        <v>69</v>
      </c>
      <c r="G8" s="294" t="s">
        <v>80</v>
      </c>
    </row>
    <row r="9" spans="1:7" ht="15.75">
      <c r="A9" s="247" t="s">
        <v>81</v>
      </c>
      <c r="B9" s="22"/>
      <c r="C9" s="231">
        <v>12023.5</v>
      </c>
      <c r="D9" s="260">
        <v>12023.5</v>
      </c>
      <c r="E9" s="334"/>
      <c r="F9" s="47">
        <v>12250.4</v>
      </c>
      <c r="G9" s="51">
        <f>E9+F9</f>
        <v>12250.4</v>
      </c>
    </row>
    <row r="10" spans="1:7" ht="15.75">
      <c r="A10" s="247" t="s">
        <v>83</v>
      </c>
      <c r="B10" s="22"/>
      <c r="C10" s="231">
        <v>-249.3</v>
      </c>
      <c r="D10" s="260">
        <v>-249.3</v>
      </c>
      <c r="E10" s="334"/>
      <c r="F10" s="47">
        <v>283.7</v>
      </c>
      <c r="G10" s="51">
        <f aca="true" t="shared" si="0" ref="G10:G27">E10+F10</f>
        <v>283.7</v>
      </c>
    </row>
    <row r="11" spans="1:7" ht="15.75">
      <c r="A11" s="247" t="s">
        <v>84</v>
      </c>
      <c r="B11" s="22"/>
      <c r="C11" s="231">
        <v>11774.2</v>
      </c>
      <c r="D11" s="260">
        <v>11774.2</v>
      </c>
      <c r="E11" s="334"/>
      <c r="F11" s="47">
        <f>F9-F10</f>
        <v>11966.699999999999</v>
      </c>
      <c r="G11" s="51">
        <f t="shared" si="0"/>
        <v>11966.699999999999</v>
      </c>
    </row>
    <row r="12" spans="1:7" ht="15.75">
      <c r="A12" s="248" t="s">
        <v>85</v>
      </c>
      <c r="B12" s="23"/>
      <c r="C12" s="87"/>
      <c r="D12" s="261"/>
      <c r="E12" s="335"/>
      <c r="F12" s="48"/>
      <c r="G12" s="51"/>
    </row>
    <row r="13" spans="1:7" ht="30.75">
      <c r="A13" s="250" t="s">
        <v>160</v>
      </c>
      <c r="B13" s="303"/>
      <c r="C13" s="304">
        <v>4077.2</v>
      </c>
      <c r="D13" s="305">
        <v>4077.2</v>
      </c>
      <c r="E13" s="335">
        <v>2.5</v>
      </c>
      <c r="F13" s="48">
        <v>5260.7</v>
      </c>
      <c r="G13" s="51">
        <f t="shared" si="0"/>
        <v>5263.2</v>
      </c>
    </row>
    <row r="14" spans="1:7" ht="15.75">
      <c r="A14" s="249" t="s">
        <v>87</v>
      </c>
      <c r="B14" s="23"/>
      <c r="C14" s="87">
        <v>7503.4</v>
      </c>
      <c r="D14" s="261">
        <v>7503.4</v>
      </c>
      <c r="E14" s="335"/>
      <c r="F14" s="48">
        <f>8850.5-F17-F18-F19</f>
        <v>8631.4</v>
      </c>
      <c r="G14" s="51">
        <f t="shared" si="0"/>
        <v>8631.4</v>
      </c>
    </row>
    <row r="15" spans="1:7" ht="15.75">
      <c r="A15" s="249" t="s">
        <v>88</v>
      </c>
      <c r="B15" s="23"/>
      <c r="C15" s="87">
        <v>5.4</v>
      </c>
      <c r="D15" s="261">
        <v>5.4</v>
      </c>
      <c r="E15" s="335"/>
      <c r="F15" s="63"/>
      <c r="G15" s="51">
        <f t="shared" si="0"/>
        <v>0</v>
      </c>
    </row>
    <row r="16" spans="1:7" ht="15.75">
      <c r="A16" s="249" t="s">
        <v>90</v>
      </c>
      <c r="B16" s="23">
        <v>35.8</v>
      </c>
      <c r="C16" s="87"/>
      <c r="D16" s="261">
        <v>35.8</v>
      </c>
      <c r="E16" s="336"/>
      <c r="F16" s="63"/>
      <c r="G16" s="51">
        <f t="shared" si="0"/>
        <v>0</v>
      </c>
    </row>
    <row r="17" spans="1:7" ht="15.75">
      <c r="A17" s="249" t="s">
        <v>91</v>
      </c>
      <c r="B17" s="23"/>
      <c r="C17" s="87">
        <v>5.4</v>
      </c>
      <c r="D17" s="261">
        <v>5.4</v>
      </c>
      <c r="E17" s="335"/>
      <c r="F17" s="63">
        <v>2</v>
      </c>
      <c r="G17" s="51">
        <f t="shared" si="0"/>
        <v>2</v>
      </c>
    </row>
    <row r="18" spans="1:7" ht="15.75">
      <c r="A18" s="249" t="s">
        <v>92</v>
      </c>
      <c r="B18" s="23"/>
      <c r="C18" s="87"/>
      <c r="D18" s="261">
        <v>0</v>
      </c>
      <c r="E18" s="335"/>
      <c r="F18" s="63">
        <v>9.7</v>
      </c>
      <c r="G18" s="51">
        <f t="shared" si="0"/>
        <v>9.7</v>
      </c>
    </row>
    <row r="19" spans="1:7" ht="30" customHeight="1">
      <c r="A19" s="250" t="s">
        <v>93</v>
      </c>
      <c r="B19" s="303"/>
      <c r="C19" s="304">
        <v>165.1</v>
      </c>
      <c r="D19" s="305">
        <v>165.1</v>
      </c>
      <c r="E19" s="335"/>
      <c r="F19" s="63">
        <v>207.4</v>
      </c>
      <c r="G19" s="51">
        <f t="shared" si="0"/>
        <v>207.4</v>
      </c>
    </row>
    <row r="20" spans="1:7" ht="45.75" customHeight="1">
      <c r="A20" s="250" t="s">
        <v>114</v>
      </c>
      <c r="B20" s="303"/>
      <c r="C20" s="304">
        <v>164.1</v>
      </c>
      <c r="D20" s="305">
        <v>164.1</v>
      </c>
      <c r="E20" s="335"/>
      <c r="F20" s="48">
        <v>129.4</v>
      </c>
      <c r="G20" s="51">
        <f t="shared" si="0"/>
        <v>129.4</v>
      </c>
    </row>
    <row r="21" spans="1:7" ht="15.75">
      <c r="A21" s="250" t="s">
        <v>72</v>
      </c>
      <c r="B21" s="303">
        <v>15.8</v>
      </c>
      <c r="C21" s="304"/>
      <c r="D21" s="305"/>
      <c r="E21" s="336"/>
      <c r="F21" s="48">
        <v>0</v>
      </c>
      <c r="G21" s="51"/>
    </row>
    <row r="22" spans="1:7" ht="20.25" customHeight="1">
      <c r="A22" s="250" t="s">
        <v>73</v>
      </c>
      <c r="B22" s="303"/>
      <c r="C22" s="304"/>
      <c r="D22" s="305">
        <v>0</v>
      </c>
      <c r="E22" s="335"/>
      <c r="F22" s="48">
        <v>0</v>
      </c>
      <c r="G22" s="51">
        <f t="shared" si="0"/>
        <v>0</v>
      </c>
    </row>
    <row r="23" spans="1:7" ht="15.75">
      <c r="A23" s="249" t="s">
        <v>95</v>
      </c>
      <c r="B23" s="23">
        <v>839.91</v>
      </c>
      <c r="C23" s="87"/>
      <c r="D23" s="261">
        <v>839.91</v>
      </c>
      <c r="E23" s="336">
        <v>1459.6</v>
      </c>
      <c r="F23" s="48">
        <v>0</v>
      </c>
      <c r="G23" s="51">
        <f t="shared" si="0"/>
        <v>1459.6</v>
      </c>
    </row>
    <row r="24" spans="1:7" ht="15.75">
      <c r="A24" s="249" t="s">
        <v>96</v>
      </c>
      <c r="B24" s="23"/>
      <c r="C24" s="87"/>
      <c r="D24" s="261">
        <v>0</v>
      </c>
      <c r="E24" s="335"/>
      <c r="F24" s="48">
        <v>0</v>
      </c>
      <c r="G24" s="51">
        <f t="shared" si="0"/>
        <v>0</v>
      </c>
    </row>
    <row r="25" spans="1:7" ht="15.75">
      <c r="A25" s="251" t="s">
        <v>97</v>
      </c>
      <c r="B25" s="306"/>
      <c r="C25" s="307">
        <v>147.5</v>
      </c>
      <c r="D25" s="308">
        <v>147.5</v>
      </c>
      <c r="E25" s="337"/>
      <c r="F25" s="49">
        <v>74.8</v>
      </c>
      <c r="G25" s="51">
        <f t="shared" si="0"/>
        <v>74.8</v>
      </c>
    </row>
    <row r="26" spans="1:7" ht="15.75">
      <c r="A26" s="251" t="s">
        <v>98</v>
      </c>
      <c r="B26" s="306"/>
      <c r="C26" s="307">
        <v>8</v>
      </c>
      <c r="D26" s="308">
        <v>8</v>
      </c>
      <c r="E26" s="337"/>
      <c r="F26" s="49">
        <v>87.3</v>
      </c>
      <c r="G26" s="51">
        <f t="shared" si="0"/>
        <v>87.3</v>
      </c>
    </row>
    <row r="27" spans="1:7" ht="16.5" thickBot="1">
      <c r="A27" s="252" t="s">
        <v>99</v>
      </c>
      <c r="B27" s="28">
        <v>891.51</v>
      </c>
      <c r="C27" s="232">
        <v>12076.099999999999</v>
      </c>
      <c r="D27" s="262">
        <v>12967.609999999999</v>
      </c>
      <c r="E27" s="337">
        <f>SUM(E13:E24)</f>
        <v>1462.1</v>
      </c>
      <c r="F27" s="49">
        <f>SUM(F13:F26)</f>
        <v>14402.699999999997</v>
      </c>
      <c r="G27" s="51">
        <f t="shared" si="0"/>
        <v>15864.799999999997</v>
      </c>
    </row>
    <row r="28" spans="1:7" ht="16.5" thickBot="1">
      <c r="A28" s="253" t="s">
        <v>100</v>
      </c>
      <c r="B28" s="29"/>
      <c r="C28" s="233">
        <v>-301.8999999999978</v>
      </c>
      <c r="D28" s="263"/>
      <c r="E28" s="271"/>
      <c r="F28" s="50">
        <f>F11-F27</f>
        <v>-2435.999999999998</v>
      </c>
      <c r="G28" s="52"/>
    </row>
    <row r="29" spans="1:7" ht="15">
      <c r="A29" s="30" t="s">
        <v>101</v>
      </c>
      <c r="B29" s="30"/>
      <c r="C29" s="31"/>
      <c r="D29" s="264"/>
      <c r="E29" s="338"/>
      <c r="F29" s="44"/>
      <c r="G29" s="45"/>
    </row>
    <row r="30" spans="1:7" ht="26.25" customHeight="1">
      <c r="A30" s="254" t="s">
        <v>117</v>
      </c>
      <c r="B30" s="339"/>
      <c r="C30" s="36"/>
      <c r="D30" s="46">
        <v>31</v>
      </c>
      <c r="E30" s="339"/>
      <c r="F30" s="36"/>
      <c r="G30" s="64">
        <v>31</v>
      </c>
    </row>
    <row r="31" spans="1:7" ht="16.5" customHeight="1">
      <c r="A31" s="254" t="s">
        <v>119</v>
      </c>
      <c r="B31" s="339"/>
      <c r="C31" s="36"/>
      <c r="D31" s="46">
        <v>8183.23</v>
      </c>
      <c r="E31" s="339"/>
      <c r="F31" s="36"/>
      <c r="G31" s="69">
        <f>5263200/31/12</f>
        <v>14148.387096774195</v>
      </c>
    </row>
    <row r="32" spans="1:7" ht="18.75" customHeight="1" thickBot="1">
      <c r="A32" s="255" t="s">
        <v>118</v>
      </c>
      <c r="B32" s="340" t="s">
        <v>89</v>
      </c>
      <c r="C32" s="341"/>
      <c r="D32" s="347">
        <v>266</v>
      </c>
      <c r="E32" s="340" t="s">
        <v>89</v>
      </c>
      <c r="F32" s="341"/>
      <c r="G32" s="342">
        <v>266</v>
      </c>
    </row>
    <row r="33" spans="1:7" ht="18.75" customHeight="1">
      <c r="A33" s="343"/>
      <c r="B33" s="344"/>
      <c r="C33" s="344"/>
      <c r="D33" s="345"/>
      <c r="E33" s="344"/>
      <c r="F33" s="344"/>
      <c r="G33" s="346"/>
    </row>
    <row r="35" spans="1:7" ht="12.75">
      <c r="A35" t="s">
        <v>187</v>
      </c>
      <c r="F35" s="387" t="s">
        <v>188</v>
      </c>
      <c r="G35" s="388"/>
    </row>
  </sheetData>
  <sheetProtection/>
  <mergeCells count="4">
    <mergeCell ref="A1:G1"/>
    <mergeCell ref="E7:G7"/>
    <mergeCell ref="F35:G35"/>
    <mergeCell ref="B7:D7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85" zoomScaleNormal="85" zoomScalePageLayoutView="0" workbookViewId="0" topLeftCell="A10">
      <selection activeCell="G23" sqref="A23:G23"/>
    </sheetView>
  </sheetViews>
  <sheetFormatPr defaultColWidth="9.00390625" defaultRowHeight="12.75"/>
  <cols>
    <col min="1" max="1" width="4.375" style="0" customWidth="1"/>
    <col min="2" max="2" width="22.625" style="0" customWidth="1"/>
    <col min="3" max="3" width="12.00390625" style="0" customWidth="1"/>
    <col min="4" max="4" width="11.625" style="0" customWidth="1"/>
    <col min="5" max="5" width="12.00390625" style="0" customWidth="1"/>
    <col min="6" max="6" width="12.125" style="0" customWidth="1"/>
  </cols>
  <sheetData>
    <row r="1" spans="1:6" ht="12.75">
      <c r="A1" s="389" t="s">
        <v>122</v>
      </c>
      <c r="B1" s="389"/>
      <c r="C1" s="389"/>
      <c r="D1" s="389"/>
      <c r="E1" s="389"/>
      <c r="F1" s="389"/>
    </row>
    <row r="3" spans="5:6" ht="12.75">
      <c r="E3" s="390" t="s">
        <v>138</v>
      </c>
      <c r="F3" s="390"/>
    </row>
    <row r="5" spans="1:6" ht="12.75">
      <c r="A5" s="393" t="s">
        <v>134</v>
      </c>
      <c r="B5" s="394"/>
      <c r="C5" s="394"/>
      <c r="D5" s="394"/>
      <c r="E5" s="394"/>
      <c r="F5" s="394"/>
    </row>
    <row r="6" spans="1:6" ht="12.75">
      <c r="A6" s="39"/>
      <c r="B6" s="40"/>
      <c r="C6" s="40"/>
      <c r="D6" s="40"/>
      <c r="E6" s="40"/>
      <c r="F6" s="40"/>
    </row>
    <row r="7" spans="1:6" ht="12.75">
      <c r="A7" s="391" t="s">
        <v>123</v>
      </c>
      <c r="B7" s="391" t="s">
        <v>137</v>
      </c>
      <c r="C7" s="391" t="s">
        <v>139</v>
      </c>
      <c r="D7" s="391"/>
      <c r="E7" s="392">
        <v>2012</v>
      </c>
      <c r="F7" s="392"/>
    </row>
    <row r="8" spans="1:6" ht="25.5">
      <c r="A8" s="391"/>
      <c r="B8" s="391"/>
      <c r="C8" s="25" t="s">
        <v>82</v>
      </c>
      <c r="D8" s="25" t="s">
        <v>125</v>
      </c>
      <c r="E8" s="25" t="s">
        <v>82</v>
      </c>
      <c r="F8" s="26" t="s">
        <v>125</v>
      </c>
    </row>
    <row r="9" spans="1:6" ht="15.75">
      <c r="A9" s="61">
        <v>1</v>
      </c>
      <c r="B9" s="27" t="s">
        <v>126</v>
      </c>
      <c r="C9" s="55">
        <v>6217.9</v>
      </c>
      <c r="D9" s="54">
        <f>C9/C18</f>
        <v>0.08387311727587388</v>
      </c>
      <c r="E9" s="55">
        <v>5791.6</v>
      </c>
      <c r="F9" s="54">
        <f>E9/E18</f>
        <v>0.08662706953828114</v>
      </c>
    </row>
    <row r="10" spans="1:6" ht="15.75">
      <c r="A10" s="61">
        <v>2</v>
      </c>
      <c r="B10" s="27" t="s">
        <v>127</v>
      </c>
      <c r="C10" s="55">
        <v>327.5</v>
      </c>
      <c r="D10" s="54">
        <f>C10/C18</f>
        <v>0.0044176403460732235</v>
      </c>
      <c r="E10" s="55">
        <v>348.2</v>
      </c>
      <c r="F10" s="54">
        <f>E10/E18</f>
        <v>0.005208154156576678</v>
      </c>
    </row>
    <row r="11" spans="1:6" ht="15.75">
      <c r="A11" s="61">
        <v>3</v>
      </c>
      <c r="B11" s="27" t="s">
        <v>128</v>
      </c>
      <c r="C11" s="55">
        <v>5.8</v>
      </c>
      <c r="D11" s="54">
        <f>C11/C18</f>
        <v>7.823607330450288E-05</v>
      </c>
      <c r="E11" s="55">
        <v>5.1</v>
      </c>
      <c r="F11" s="54">
        <f>E11/E18</f>
        <v>7.628255657249012E-05</v>
      </c>
    </row>
    <row r="12" spans="1:6" ht="26.25" customHeight="1">
      <c r="A12" s="61">
        <v>4</v>
      </c>
      <c r="B12" s="41" t="s">
        <v>136</v>
      </c>
      <c r="C12" s="55">
        <v>44284.6</v>
      </c>
      <c r="D12" s="54">
        <f>C12/C18</f>
        <v>0.5973540020449291</v>
      </c>
      <c r="E12" s="66">
        <v>38552.1</v>
      </c>
      <c r="F12" s="54">
        <f>E12/E18</f>
        <v>0.5766377939682934</v>
      </c>
    </row>
    <row r="13" spans="1:6" ht="15.75">
      <c r="A13" s="61">
        <v>5</v>
      </c>
      <c r="B13" s="27" t="s">
        <v>83</v>
      </c>
      <c r="C13" s="55">
        <v>5019.8</v>
      </c>
      <c r="D13" s="54">
        <f>C13/C18</f>
        <v>0.06771197254723166</v>
      </c>
      <c r="E13" s="55">
        <v>4603.5</v>
      </c>
      <c r="F13" s="54">
        <f>E13/E18</f>
        <v>0.06885622532969769</v>
      </c>
    </row>
    <row r="14" spans="1:6" ht="15.75">
      <c r="A14" s="61">
        <v>6</v>
      </c>
      <c r="B14" s="27" t="s">
        <v>129</v>
      </c>
      <c r="C14" s="55">
        <v>50.8</v>
      </c>
      <c r="D14" s="54">
        <f>C14/C18</f>
        <v>0.0006852400903221977</v>
      </c>
      <c r="E14" s="55">
        <v>51</v>
      </c>
      <c r="F14" s="54">
        <f>E14/E18</f>
        <v>0.0007628255657249012</v>
      </c>
    </row>
    <row r="15" spans="1:6" ht="29.25" customHeight="1">
      <c r="A15" s="61">
        <v>7</v>
      </c>
      <c r="B15" s="41" t="s">
        <v>130</v>
      </c>
      <c r="C15" s="55">
        <v>27.9</v>
      </c>
      <c r="D15" s="54">
        <f>C15/C18</f>
        <v>0.00037634249055097077</v>
      </c>
      <c r="E15" s="55">
        <v>53</v>
      </c>
      <c r="F15" s="54">
        <f>E15/E18</f>
        <v>0.0007927402937925444</v>
      </c>
    </row>
    <row r="16" spans="1:6" ht="15.75">
      <c r="A16" s="61">
        <v>8</v>
      </c>
      <c r="B16" s="41" t="s">
        <v>131</v>
      </c>
      <c r="C16" s="55">
        <v>18200.3</v>
      </c>
      <c r="D16" s="54">
        <f>C16/C18</f>
        <v>0.24550344913171446</v>
      </c>
      <c r="E16" s="66">
        <v>17452.2</v>
      </c>
      <c r="F16" s="54">
        <f>E16/E18</f>
        <v>0.2610389085910612</v>
      </c>
    </row>
    <row r="17" spans="1:6" ht="26.25">
      <c r="A17" s="61">
        <v>10</v>
      </c>
      <c r="B17" s="41" t="s">
        <v>132</v>
      </c>
      <c r="C17" s="55">
        <v>0</v>
      </c>
      <c r="D17" s="54">
        <f>C17/C18</f>
        <v>0</v>
      </c>
      <c r="E17" s="66">
        <v>0</v>
      </c>
      <c r="F17" s="54">
        <f>E17/E18</f>
        <v>0</v>
      </c>
    </row>
    <row r="18" spans="1:6" ht="15.75">
      <c r="A18" s="61"/>
      <c r="B18" s="27" t="s">
        <v>21</v>
      </c>
      <c r="C18" s="55">
        <f>SUM(C9:C17)</f>
        <v>74134.6</v>
      </c>
      <c r="D18" s="54">
        <f>SUM(D9:D17)</f>
        <v>1</v>
      </c>
      <c r="E18" s="56">
        <f>SUM(E9:E17)</f>
        <v>66856.7</v>
      </c>
      <c r="F18" s="54">
        <f>SUM(F9:F17)</f>
        <v>1</v>
      </c>
    </row>
    <row r="19" spans="1:6" ht="26.25">
      <c r="A19" s="62">
        <v>11</v>
      </c>
      <c r="B19" s="41" t="s">
        <v>158</v>
      </c>
      <c r="C19" s="53">
        <v>8564</v>
      </c>
      <c r="D19" s="57"/>
      <c r="E19" s="55">
        <v>7756.8</v>
      </c>
      <c r="F19" s="55"/>
    </row>
    <row r="20" spans="1:6" ht="39.75" customHeight="1">
      <c r="A20" s="62"/>
      <c r="B20" s="41" t="s">
        <v>159</v>
      </c>
      <c r="C20" s="53">
        <v>630</v>
      </c>
      <c r="D20" s="57"/>
      <c r="E20" s="53">
        <f>9.2+1401</f>
        <v>1410.2</v>
      </c>
      <c r="F20" s="55"/>
    </row>
    <row r="21" spans="2:6" ht="12.75">
      <c r="B21" s="398" t="s">
        <v>133</v>
      </c>
      <c r="C21" s="398"/>
      <c r="D21" s="398"/>
      <c r="E21" s="398"/>
      <c r="F21" s="398"/>
    </row>
    <row r="22" spans="2:6" ht="12.75">
      <c r="B22" s="398"/>
      <c r="C22" s="398"/>
      <c r="D22" s="398"/>
      <c r="E22" s="398"/>
      <c r="F22" s="398"/>
    </row>
    <row r="23" spans="1:6" ht="12.75">
      <c r="A23" s="397"/>
      <c r="B23" s="397"/>
      <c r="C23" s="397"/>
      <c r="D23" s="397"/>
      <c r="E23" s="397"/>
      <c r="F23" s="397"/>
    </row>
    <row r="24" spans="1:6" ht="12.75">
      <c r="A24" s="391" t="s">
        <v>123</v>
      </c>
      <c r="B24" s="391" t="s">
        <v>124</v>
      </c>
      <c r="C24" s="391" t="s">
        <v>139</v>
      </c>
      <c r="D24" s="391"/>
      <c r="E24" s="391" t="s">
        <v>195</v>
      </c>
      <c r="F24" s="391"/>
    </row>
    <row r="25" spans="1:6" ht="25.5">
      <c r="A25" s="391"/>
      <c r="B25" s="391"/>
      <c r="C25" s="25" t="s">
        <v>82</v>
      </c>
      <c r="D25" s="25" t="s">
        <v>125</v>
      </c>
      <c r="E25" s="25" t="s">
        <v>82</v>
      </c>
      <c r="F25" s="25" t="s">
        <v>125</v>
      </c>
    </row>
    <row r="26" spans="1:6" ht="15.75">
      <c r="A26" s="61">
        <v>1</v>
      </c>
      <c r="B26" s="27" t="s">
        <v>127</v>
      </c>
      <c r="C26" s="53">
        <v>4394</v>
      </c>
      <c r="D26" s="54">
        <f>C26/C30</f>
        <v>0.047490586185578595</v>
      </c>
      <c r="E26" s="53">
        <v>4132.2</v>
      </c>
      <c r="F26" s="54">
        <f>E26/E30</f>
        <v>0.05236724746889102</v>
      </c>
    </row>
    <row r="27" spans="1:6" ht="15.75">
      <c r="A27" s="61">
        <v>2</v>
      </c>
      <c r="B27" s="27" t="s">
        <v>128</v>
      </c>
      <c r="C27" s="53">
        <v>17424.2</v>
      </c>
      <c r="D27" s="54">
        <f>C27/C30</f>
        <v>0.1883216822518795</v>
      </c>
      <c r="E27" s="53">
        <v>5660</v>
      </c>
      <c r="F27" s="54">
        <f>E27/E30</f>
        <v>0.07172901134357562</v>
      </c>
    </row>
    <row r="28" spans="1:6" ht="27" customHeight="1">
      <c r="A28" s="61">
        <v>3</v>
      </c>
      <c r="B28" s="41" t="s">
        <v>136</v>
      </c>
      <c r="C28" s="53">
        <v>49219.4</v>
      </c>
      <c r="D28" s="54">
        <f>C28/C30</f>
        <v>0.5319658984302383</v>
      </c>
      <c r="E28" s="67">
        <v>47682</v>
      </c>
      <c r="F28" s="54">
        <f>E28/E30</f>
        <v>0.6042725651739175</v>
      </c>
    </row>
    <row r="29" spans="1:6" ht="15.75">
      <c r="A29" s="61">
        <v>4</v>
      </c>
      <c r="B29" s="27" t="s">
        <v>131</v>
      </c>
      <c r="C29" s="53">
        <v>21486</v>
      </c>
      <c r="D29" s="54">
        <f>C29/C30</f>
        <v>0.23222183313230352</v>
      </c>
      <c r="E29" s="67">
        <v>21433.9</v>
      </c>
      <c r="F29" s="54">
        <f>E29/E30</f>
        <v>0.27163117601361586</v>
      </c>
    </row>
    <row r="30" spans="1:6" ht="15.75">
      <c r="A30" s="61"/>
      <c r="B30" s="27" t="s">
        <v>21</v>
      </c>
      <c r="C30" s="53">
        <f>SUM(C26:C29)</f>
        <v>92523.6</v>
      </c>
      <c r="D30" s="54">
        <f>SUM(D26:D29)</f>
        <v>0.9999999999999999</v>
      </c>
      <c r="E30" s="53">
        <f>SUM(E26:E29)</f>
        <v>78908.1</v>
      </c>
      <c r="F30" s="54">
        <f>SUM(F26:F29)</f>
        <v>1</v>
      </c>
    </row>
    <row r="32" spans="1:6" ht="12.75">
      <c r="A32" s="395"/>
      <c r="B32" s="395"/>
      <c r="C32" s="395"/>
      <c r="D32" s="395"/>
      <c r="E32" s="395"/>
      <c r="F32" s="395"/>
    </row>
    <row r="33" spans="1:6" ht="12.75">
      <c r="A33" s="395"/>
      <c r="B33" s="395"/>
      <c r="C33" s="395"/>
      <c r="D33" s="395"/>
      <c r="E33" s="395"/>
      <c r="F33" s="395"/>
    </row>
    <row r="34" spans="1:6" ht="12.75">
      <c r="A34" s="1"/>
      <c r="B34" s="1"/>
      <c r="C34" s="1"/>
      <c r="D34" s="1"/>
      <c r="E34" s="1"/>
      <c r="F34" s="1"/>
    </row>
    <row r="35" spans="2:6" ht="12.75">
      <c r="B35" t="s">
        <v>187</v>
      </c>
      <c r="E35" s="396" t="s">
        <v>188</v>
      </c>
      <c r="F35" s="396"/>
    </row>
  </sheetData>
  <sheetProtection/>
  <mergeCells count="16">
    <mergeCell ref="A33:F33"/>
    <mergeCell ref="E35:F35"/>
    <mergeCell ref="A23:F23"/>
    <mergeCell ref="B21:F22"/>
    <mergeCell ref="A24:A25"/>
    <mergeCell ref="B24:B25"/>
    <mergeCell ref="C24:D24"/>
    <mergeCell ref="E24:F24"/>
    <mergeCell ref="A32:F32"/>
    <mergeCell ref="A1:F1"/>
    <mergeCell ref="E3:F3"/>
    <mergeCell ref="A7:A8"/>
    <mergeCell ref="B7:B8"/>
    <mergeCell ref="E7:F7"/>
    <mergeCell ref="A5:F5"/>
    <mergeCell ref="C7:D7"/>
  </mergeCells>
  <printOptions/>
  <pageMargins left="0.8267716535433072" right="0.7480314960629921" top="0.984251968503937" bottom="0.8661417322834646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6"/>
  <sheetViews>
    <sheetView zoomScale="85" zoomScaleNormal="85" zoomScalePageLayoutView="0" workbookViewId="0" topLeftCell="A1">
      <selection activeCell="H20" sqref="H20"/>
    </sheetView>
  </sheetViews>
  <sheetFormatPr defaultColWidth="9.00390625" defaultRowHeight="12.75"/>
  <cols>
    <col min="1" max="1" width="31.875" style="0" customWidth="1"/>
    <col min="2" max="2" width="9.875" style="0" bestFit="1" customWidth="1"/>
    <col min="3" max="3" width="10.25390625" style="0" customWidth="1"/>
    <col min="4" max="4" width="10.125" style="0" customWidth="1"/>
    <col min="5" max="5" width="11.375" style="0" customWidth="1"/>
    <col min="6" max="6" width="10.75390625" style="0" customWidth="1"/>
    <col min="7" max="7" width="10.00390625" style="0" customWidth="1"/>
    <col min="8" max="10" width="10.125" style="0" customWidth="1"/>
    <col min="11" max="11" width="11.375" style="0" customWidth="1"/>
    <col min="12" max="12" width="11.00390625" style="0" customWidth="1"/>
  </cols>
  <sheetData>
    <row r="3" ht="13.5" thickBot="1">
      <c r="K3" s="197" t="s">
        <v>112</v>
      </c>
    </row>
    <row r="4" spans="1:12" ht="13.5" customHeight="1">
      <c r="A4" s="399" t="s">
        <v>206</v>
      </c>
      <c r="B4" s="400"/>
      <c r="C4" s="400"/>
      <c r="D4" s="400"/>
      <c r="E4" s="400"/>
      <c r="F4" s="400"/>
      <c r="G4" s="400"/>
      <c r="H4" s="400"/>
      <c r="I4" s="400"/>
      <c r="J4" s="400"/>
      <c r="K4" s="218"/>
      <c r="L4" s="217"/>
    </row>
    <row r="5" spans="1:12" ht="12.75">
      <c r="A5" s="152"/>
      <c r="B5" s="2"/>
      <c r="C5" s="2"/>
      <c r="D5" s="2"/>
      <c r="E5" s="2"/>
      <c r="F5" s="2"/>
      <c r="G5" s="2"/>
      <c r="H5" s="2"/>
      <c r="I5" s="2"/>
      <c r="J5" s="198"/>
      <c r="K5" s="201"/>
      <c r="L5" s="202"/>
    </row>
    <row r="6" spans="1:12" ht="48.75" customHeight="1">
      <c r="A6" s="213" t="s">
        <v>161</v>
      </c>
      <c r="B6" s="60" t="s">
        <v>162</v>
      </c>
      <c r="C6" s="60" t="s">
        <v>163</v>
      </c>
      <c r="D6" s="60" t="s">
        <v>164</v>
      </c>
      <c r="E6" s="60" t="s">
        <v>165</v>
      </c>
      <c r="F6" s="60" t="s">
        <v>166</v>
      </c>
      <c r="G6" s="60" t="s">
        <v>237</v>
      </c>
      <c r="H6" s="60" t="s">
        <v>167</v>
      </c>
      <c r="I6" s="60" t="s">
        <v>211</v>
      </c>
      <c r="J6" s="199" t="s">
        <v>238</v>
      </c>
      <c r="K6" s="200" t="s">
        <v>80</v>
      </c>
      <c r="L6" s="204" t="s">
        <v>181</v>
      </c>
    </row>
    <row r="7" spans="1:12" ht="12.75">
      <c r="A7" s="203" t="s">
        <v>168</v>
      </c>
      <c r="B7" s="206">
        <v>7000</v>
      </c>
      <c r="C7" s="206">
        <v>125</v>
      </c>
      <c r="D7" s="206">
        <v>250</v>
      </c>
      <c r="E7" s="206"/>
      <c r="F7" s="206"/>
      <c r="G7" s="206"/>
      <c r="H7" s="206"/>
      <c r="I7" s="206">
        <v>4000</v>
      </c>
      <c r="J7" s="207">
        <v>226538</v>
      </c>
      <c r="K7" s="219">
        <f>SUM(B7:J7)</f>
        <v>237913</v>
      </c>
      <c r="L7" s="214">
        <f>K7/K24</f>
        <v>0.027926595109148453</v>
      </c>
    </row>
    <row r="8" spans="1:12" ht="12.75">
      <c r="A8" s="203" t="s">
        <v>169</v>
      </c>
      <c r="B8" s="206"/>
      <c r="C8" s="206">
        <v>1440</v>
      </c>
      <c r="D8" s="206"/>
      <c r="E8" s="206">
        <v>3500</v>
      </c>
      <c r="F8" s="206">
        <v>45500</v>
      </c>
      <c r="G8" s="206">
        <v>16000</v>
      </c>
      <c r="H8" s="206">
        <v>3600</v>
      </c>
      <c r="I8" s="206">
        <v>8840</v>
      </c>
      <c r="J8" s="207">
        <v>460890</v>
      </c>
      <c r="K8" s="219">
        <f aca="true" t="shared" si="0" ref="K8:K24">SUM(B8:J8)</f>
        <v>539770</v>
      </c>
      <c r="L8" s="214">
        <f>K8/K24</f>
        <v>0.06335903562253875</v>
      </c>
    </row>
    <row r="9" spans="1:12" ht="25.5">
      <c r="A9" s="203" t="s">
        <v>210</v>
      </c>
      <c r="B9" s="206">
        <v>25400</v>
      </c>
      <c r="C9" s="206">
        <v>47500</v>
      </c>
      <c r="D9" s="206">
        <v>67304</v>
      </c>
      <c r="E9" s="206">
        <v>11485</v>
      </c>
      <c r="F9" s="206">
        <v>112706</v>
      </c>
      <c r="G9" s="206">
        <f>63410+81300</f>
        <v>144710</v>
      </c>
      <c r="H9" s="206">
        <v>58739.9</v>
      </c>
      <c r="I9" s="206">
        <v>101140</v>
      </c>
      <c r="J9" s="207">
        <v>1047341.31</v>
      </c>
      <c r="K9" s="220">
        <f t="shared" si="0"/>
        <v>1616326.21</v>
      </c>
      <c r="L9" s="215">
        <f>K9/K24</f>
        <v>0.189726864992558</v>
      </c>
    </row>
    <row r="10" spans="1:12" ht="12.75">
      <c r="A10" s="203" t="s">
        <v>170</v>
      </c>
      <c r="B10" s="206">
        <v>26800</v>
      </c>
      <c r="C10" s="206"/>
      <c r="D10" s="206"/>
      <c r="E10" s="206">
        <v>19000</v>
      </c>
      <c r="F10" s="206">
        <v>2500</v>
      </c>
      <c r="G10" s="206">
        <v>1300</v>
      </c>
      <c r="H10" s="206">
        <v>13651</v>
      </c>
      <c r="I10" s="206">
        <v>68582</v>
      </c>
      <c r="J10" s="207">
        <v>537997</v>
      </c>
      <c r="K10" s="219">
        <f t="shared" si="0"/>
        <v>669830</v>
      </c>
      <c r="L10" s="214">
        <f>K10/K24</f>
        <v>0.07862567914305191</v>
      </c>
    </row>
    <row r="11" spans="1:12" ht="12.75">
      <c r="A11" s="203" t="s">
        <v>207</v>
      </c>
      <c r="B11" s="206">
        <v>3260</v>
      </c>
      <c r="C11" s="206"/>
      <c r="D11" s="206"/>
      <c r="E11" s="206">
        <v>7500</v>
      </c>
      <c r="F11" s="206"/>
      <c r="G11" s="206"/>
      <c r="H11" s="206">
        <v>20600</v>
      </c>
      <c r="I11" s="206">
        <v>23402.3</v>
      </c>
      <c r="J11" s="207">
        <v>350990</v>
      </c>
      <c r="K11" s="219">
        <f t="shared" si="0"/>
        <v>405752.3</v>
      </c>
      <c r="L11" s="214">
        <f>K11/K24</f>
        <v>0.047627831168140185</v>
      </c>
    </row>
    <row r="12" spans="1:12" ht="25.5">
      <c r="A12" s="203" t="s">
        <v>171</v>
      </c>
      <c r="B12" s="206">
        <v>20800</v>
      </c>
      <c r="C12" s="206">
        <v>6500</v>
      </c>
      <c r="D12" s="206"/>
      <c r="E12" s="206">
        <v>2500</v>
      </c>
      <c r="F12" s="206"/>
      <c r="G12" s="206"/>
      <c r="H12" s="206"/>
      <c r="I12" s="206">
        <v>1100</v>
      </c>
      <c r="J12" s="207">
        <v>906874</v>
      </c>
      <c r="K12" s="219">
        <f t="shared" si="0"/>
        <v>937774</v>
      </c>
      <c r="L12" s="214">
        <f>K12/K24</f>
        <v>0.11007735937879216</v>
      </c>
    </row>
    <row r="13" spans="1:12" ht="25.5">
      <c r="A13" s="203" t="s">
        <v>208</v>
      </c>
      <c r="B13" s="206">
        <v>20600</v>
      </c>
      <c r="C13" s="206"/>
      <c r="D13" s="206"/>
      <c r="E13" s="206"/>
      <c r="F13" s="208">
        <v>3320.1</v>
      </c>
      <c r="G13" s="206">
        <f>600+43900</f>
        <v>44500</v>
      </c>
      <c r="H13" s="206"/>
      <c r="I13" s="206">
        <v>14700</v>
      </c>
      <c r="J13" s="207">
        <v>488700</v>
      </c>
      <c r="K13" s="220">
        <f t="shared" si="0"/>
        <v>571820.1</v>
      </c>
      <c r="L13" s="214">
        <f>K13/K24</f>
        <v>0.06712112582319074</v>
      </c>
    </row>
    <row r="14" spans="1:12" ht="14.25" customHeight="1">
      <c r="A14" s="203" t="s">
        <v>177</v>
      </c>
      <c r="B14" s="206"/>
      <c r="C14" s="206"/>
      <c r="D14" s="206">
        <v>2700</v>
      </c>
      <c r="E14" s="206">
        <v>2700</v>
      </c>
      <c r="F14" s="206">
        <v>27500</v>
      </c>
      <c r="G14" s="206">
        <f>48500+46162</f>
        <v>94662</v>
      </c>
      <c r="H14" s="206">
        <v>7700</v>
      </c>
      <c r="I14" s="208">
        <v>218200.86</v>
      </c>
      <c r="J14" s="207">
        <v>1039188</v>
      </c>
      <c r="K14" s="220">
        <f t="shared" si="0"/>
        <v>1392650.8599999999</v>
      </c>
      <c r="L14" s="215">
        <f>K14/K24</f>
        <v>0.16347150721325604</v>
      </c>
    </row>
    <row r="15" spans="1:12" ht="12.75">
      <c r="A15" s="203" t="s">
        <v>178</v>
      </c>
      <c r="B15" s="206"/>
      <c r="C15" s="206"/>
      <c r="D15" s="206"/>
      <c r="E15" s="206">
        <v>25400</v>
      </c>
      <c r="F15" s="206">
        <v>500</v>
      </c>
      <c r="G15" s="206"/>
      <c r="H15" s="206">
        <v>8150</v>
      </c>
      <c r="I15" s="206">
        <v>500</v>
      </c>
      <c r="J15" s="207">
        <v>586573</v>
      </c>
      <c r="K15" s="219">
        <f t="shared" si="0"/>
        <v>621123</v>
      </c>
      <c r="L15" s="214">
        <f>K15/K24</f>
        <v>0.07290837631394508</v>
      </c>
    </row>
    <row r="16" spans="1:12" ht="23.25" customHeight="1">
      <c r="A16" s="203" t="s">
        <v>209</v>
      </c>
      <c r="B16" s="206"/>
      <c r="C16" s="206"/>
      <c r="D16" s="206"/>
      <c r="E16" s="206"/>
      <c r="F16" s="206"/>
      <c r="G16" s="206"/>
      <c r="H16" s="206"/>
      <c r="I16" s="206">
        <v>18125</v>
      </c>
      <c r="J16" s="209">
        <v>446463.25</v>
      </c>
      <c r="K16" s="220">
        <f t="shared" si="0"/>
        <v>464588.25</v>
      </c>
      <c r="L16" s="214">
        <f>K16/K24</f>
        <v>0.05453408578017106</v>
      </c>
    </row>
    <row r="17" spans="1:12" ht="12.75">
      <c r="A17" s="203" t="s">
        <v>172</v>
      </c>
      <c r="B17" s="206"/>
      <c r="C17" s="206">
        <v>1800</v>
      </c>
      <c r="D17" s="206"/>
      <c r="E17" s="206"/>
      <c r="F17" s="206"/>
      <c r="G17" s="206"/>
      <c r="H17" s="206"/>
      <c r="I17" s="206"/>
      <c r="J17" s="207"/>
      <c r="K17" s="219">
        <f t="shared" si="0"/>
        <v>1800</v>
      </c>
      <c r="L17" s="214">
        <f>K17/K24</f>
        <v>0.00021128677792498608</v>
      </c>
    </row>
    <row r="18" spans="1:12" ht="12.75">
      <c r="A18" s="203" t="s">
        <v>179</v>
      </c>
      <c r="B18" s="206">
        <v>2000</v>
      </c>
      <c r="C18" s="206">
        <v>4151</v>
      </c>
      <c r="D18" s="206">
        <v>4600</v>
      </c>
      <c r="E18" s="206">
        <v>6900</v>
      </c>
      <c r="F18" s="206">
        <v>3000</v>
      </c>
      <c r="G18" s="206"/>
      <c r="H18" s="206"/>
      <c r="I18" s="206"/>
      <c r="J18" s="207"/>
      <c r="K18" s="219">
        <f t="shared" si="0"/>
        <v>20651</v>
      </c>
      <c r="L18" s="214">
        <f>K18/K24</f>
        <v>0.002424046250516049</v>
      </c>
    </row>
    <row r="19" spans="1:12" ht="12.75">
      <c r="A19" s="203" t="s">
        <v>173</v>
      </c>
      <c r="B19" s="206"/>
      <c r="C19" s="206"/>
      <c r="D19" s="206"/>
      <c r="E19" s="206"/>
      <c r="F19" s="206"/>
      <c r="G19" s="206"/>
      <c r="H19" s="206"/>
      <c r="I19" s="206"/>
      <c r="J19" s="207">
        <v>290765</v>
      </c>
      <c r="K19" s="219">
        <f t="shared" si="0"/>
        <v>290765</v>
      </c>
      <c r="L19" s="215">
        <f>K19/K24</f>
        <v>0.03413044443519921</v>
      </c>
    </row>
    <row r="20" spans="1:12" ht="12.75">
      <c r="A20" s="203" t="s">
        <v>174</v>
      </c>
      <c r="B20" s="206">
        <v>12800</v>
      </c>
      <c r="C20" s="206"/>
      <c r="D20" s="206"/>
      <c r="E20" s="206"/>
      <c r="F20" s="206">
        <v>69780</v>
      </c>
      <c r="G20" s="206">
        <v>400</v>
      </c>
      <c r="H20" s="206"/>
      <c r="I20" s="206">
        <v>1300</v>
      </c>
      <c r="J20" s="207">
        <v>140000</v>
      </c>
      <c r="K20" s="219">
        <f t="shared" si="0"/>
        <v>224280</v>
      </c>
      <c r="L20" s="214">
        <f>K20/K24</f>
        <v>0.026326332529453267</v>
      </c>
    </row>
    <row r="21" spans="1:12" ht="12.75">
      <c r="A21" s="203" t="s">
        <v>175</v>
      </c>
      <c r="B21" s="206">
        <v>3000</v>
      </c>
      <c r="C21" s="206"/>
      <c r="D21" s="206">
        <v>1200</v>
      </c>
      <c r="E21" s="206">
        <v>10072</v>
      </c>
      <c r="F21" s="208">
        <v>2096.77</v>
      </c>
      <c r="G21" s="206">
        <v>2200</v>
      </c>
      <c r="H21" s="206">
        <v>15568</v>
      </c>
      <c r="I21" s="208">
        <v>48387.85</v>
      </c>
      <c r="J21" s="209">
        <v>255398.55</v>
      </c>
      <c r="K21" s="220">
        <f t="shared" si="0"/>
        <v>337923.17</v>
      </c>
      <c r="L21" s="214">
        <f>K21/K24</f>
        <v>0.03966594320860962</v>
      </c>
    </row>
    <row r="22" spans="1:12" ht="12.75">
      <c r="A22" s="203" t="s">
        <v>176</v>
      </c>
      <c r="B22" s="206"/>
      <c r="C22" s="206">
        <v>20060</v>
      </c>
      <c r="D22" s="206">
        <v>17400</v>
      </c>
      <c r="E22" s="206">
        <v>1000</v>
      </c>
      <c r="F22" s="206">
        <v>19100</v>
      </c>
      <c r="G22" s="206"/>
      <c r="H22" s="206"/>
      <c r="I22" s="206">
        <v>34800</v>
      </c>
      <c r="J22" s="207">
        <v>86200</v>
      </c>
      <c r="K22" s="219">
        <f t="shared" si="0"/>
        <v>178560</v>
      </c>
      <c r="L22" s="214">
        <f>K22/K24</f>
        <v>0.02095964837015862</v>
      </c>
    </row>
    <row r="23" spans="1:12" ht="12.75">
      <c r="A23" s="203" t="s">
        <v>180</v>
      </c>
      <c r="B23" s="206">
        <v>7700</v>
      </c>
      <c r="C23" s="206"/>
      <c r="D23" s="206"/>
      <c r="E23" s="206"/>
      <c r="F23" s="206"/>
      <c r="G23" s="206"/>
      <c r="H23" s="206"/>
      <c r="I23" s="206"/>
      <c r="J23" s="207"/>
      <c r="K23" s="219">
        <f t="shared" si="0"/>
        <v>7700</v>
      </c>
      <c r="L23" s="214">
        <f>K23/K24</f>
        <v>0.0009038378833457738</v>
      </c>
    </row>
    <row r="24" spans="1:12" ht="13.5" thickBot="1">
      <c r="A24" s="205" t="s">
        <v>21</v>
      </c>
      <c r="B24" s="210">
        <f>SUM(B7:B23)</f>
        <v>129360</v>
      </c>
      <c r="C24" s="210">
        <f aca="true" t="shared" si="1" ref="C24:J24">SUM(C7:C23)</f>
        <v>81576</v>
      </c>
      <c r="D24" s="210">
        <f t="shared" si="1"/>
        <v>93454</v>
      </c>
      <c r="E24" s="210">
        <f t="shared" si="1"/>
        <v>90057</v>
      </c>
      <c r="F24" s="211">
        <f t="shared" si="1"/>
        <v>286002.87</v>
      </c>
      <c r="G24" s="210">
        <f t="shared" si="1"/>
        <v>303772</v>
      </c>
      <c r="H24" s="210">
        <f t="shared" si="1"/>
        <v>128008.9</v>
      </c>
      <c r="I24" s="211">
        <f t="shared" si="1"/>
        <v>543078.01</v>
      </c>
      <c r="J24" s="212">
        <f t="shared" si="1"/>
        <v>6863918.11</v>
      </c>
      <c r="K24" s="221">
        <f t="shared" si="0"/>
        <v>8519226.89</v>
      </c>
      <c r="L24" s="216">
        <f>SUM(L7:L23)</f>
        <v>0.9999999999999999</v>
      </c>
    </row>
    <row r="26" spans="2:10" ht="12.75">
      <c r="B26" s="350" t="s">
        <v>187</v>
      </c>
      <c r="C26" s="350"/>
      <c r="D26" s="350"/>
      <c r="E26" s="350"/>
      <c r="H26" s="15" t="s">
        <v>188</v>
      </c>
      <c r="I26" s="15"/>
      <c r="J26" s="15"/>
    </row>
  </sheetData>
  <sheetProtection/>
  <mergeCells count="2">
    <mergeCell ref="B26:E26"/>
    <mergeCell ref="A4:J4"/>
  </mergeCells>
  <printOptions/>
  <pageMargins left="0.6692913385826772" right="0.5118110236220472" top="0.7480314960629921" bottom="0.8661417322834646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User</cp:lastModifiedBy>
  <cp:lastPrinted>2013-02-21T04:23:07Z</cp:lastPrinted>
  <dcterms:created xsi:type="dcterms:W3CDTF">2012-03-02T05:25:50Z</dcterms:created>
  <dcterms:modified xsi:type="dcterms:W3CDTF">2013-05-20T03:51:12Z</dcterms:modified>
  <cp:category/>
  <cp:version/>
  <cp:contentType/>
  <cp:contentStatus/>
</cp:coreProperties>
</file>